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Fierce-PC\Desktop\Project Appraise\"/>
    </mc:Choice>
  </mc:AlternateContent>
  <xr:revisionPtr revIDLastSave="0" documentId="13_ncr:1_{8591D068-5358-47C8-8E7B-1158A5E23644}" xr6:coauthVersionLast="45" xr6:coauthVersionMax="45" xr10:uidLastSave="{00000000-0000-0000-0000-000000000000}"/>
  <bookViews>
    <workbookView xWindow="-28920" yWindow="-120" windowWidth="29040" windowHeight="15840" xr2:uid="{EDDEB5A4-2499-4681-AEF5-5D165D0C8915}"/>
  </bookViews>
  <sheets>
    <sheet name="Income_Expenditure Schedule" sheetId="3" r:id="rId1"/>
    <sheet name="Accom_Phase Schedule" sheetId="2" r:id="rId2"/>
  </sheets>
  <definedNames>
    <definedName name="POWER_USER_EXCEL_CHART_2BE11F07_D536_425E_973E_1E7130578BF4">#REF!</definedName>
    <definedName name="POWER_USER_EXCEL_CHART_5CB79512_1C5F_4AE3_879A_21B3693CBDBE">#REF!</definedName>
    <definedName name="POWER_USER_EXCEL_CHART_63D56864_BBA7_47C5_B2DC_E7EFE2E45C09">#REF!</definedName>
    <definedName name="POWER_USER_EXCEL_CHART_7EA2236E_C4CA_4461_9F60_62EF14C2E22E">#REF!,#REF!,#REF!,#REF!,#REF!,#REF!,#REF!</definedName>
    <definedName name="POWER_USER_EXCEL_CHART_8BB8FBD6_26C1_41AB_92FC_66F0F3099217">#REF!</definedName>
    <definedName name="POWER_USER_EXCEL_CHART_9FDC5456_C2FF_4E82_BE8E_C10351EDB04E">#REF!</definedName>
    <definedName name="POWER_USER_EXCEL_CHART_C4E6A1C0_967F_4598_A438_E30DF51B5EFD">#REF!</definedName>
    <definedName name="POWER_USER_EXCEL_CHART_E2BA8E31_B725_408D_9F6D_080BC53DAD1F">#REF!</definedName>
    <definedName name="POWER_USER_EXCEL_CHART_F97360F7_C7EA_40DB_AC91_EA152F07BC43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7" i="2" l="1"/>
  <c r="G56" i="2"/>
  <c r="G55" i="2"/>
  <c r="G54" i="2"/>
  <c r="G53" i="2"/>
  <c r="G58" i="2" l="1"/>
  <c r="L99" i="3" l="1"/>
  <c r="M99" i="3"/>
  <c r="N99" i="3"/>
  <c r="O99" i="3"/>
  <c r="P99" i="3" s="1"/>
  <c r="Q99" i="3" s="1"/>
  <c r="R99" i="3" s="1"/>
  <c r="S99" i="3" s="1"/>
  <c r="T99" i="3" s="1"/>
  <c r="U99" i="3" s="1"/>
  <c r="V99" i="3" s="1"/>
  <c r="W99" i="3"/>
  <c r="X99" i="3" s="1"/>
  <c r="Y99" i="3" s="1"/>
  <c r="Z99" i="3" s="1"/>
  <c r="AA99" i="3" s="1"/>
  <c r="AB99" i="3" s="1"/>
  <c r="AC99" i="3" s="1"/>
  <c r="AD99" i="3" s="1"/>
  <c r="AE99" i="3" s="1"/>
  <c r="AF99" i="3" s="1"/>
  <c r="AG99" i="3" s="1"/>
  <c r="AH99" i="3" s="1"/>
  <c r="AI99" i="3"/>
  <c r="AJ99" i="3" s="1"/>
  <c r="AK99" i="3" s="1"/>
  <c r="AL99" i="3" s="1"/>
  <c r="AM99" i="3" s="1"/>
  <c r="AN99" i="3" s="1"/>
  <c r="AO99" i="3" s="1"/>
  <c r="AP99" i="3" s="1"/>
  <c r="AQ99" i="3" s="1"/>
  <c r="AR99" i="3" s="1"/>
  <c r="AS99" i="3" s="1"/>
  <c r="AT99" i="3" s="1"/>
  <c r="AU99" i="3" s="1"/>
  <c r="AV99" i="3"/>
  <c r="AW99" i="3"/>
  <c r="AX99" i="3"/>
  <c r="AY99" i="3"/>
  <c r="AZ99" i="3" s="1"/>
  <c r="BA99" i="3" s="1"/>
  <c r="BB99" i="3" s="1"/>
  <c r="BC99" i="3" s="1"/>
  <c r="W100" i="3"/>
  <c r="X100" i="3" s="1"/>
  <c r="Y100" i="3" s="1"/>
  <c r="Z100" i="3" s="1"/>
  <c r="AA100" i="3" s="1"/>
  <c r="AI100" i="3"/>
  <c r="AV100" i="3"/>
  <c r="AW100" i="3" s="1"/>
  <c r="K100" i="3"/>
  <c r="L100" i="3" s="1"/>
  <c r="K99" i="3"/>
  <c r="M100" i="3" l="1"/>
  <c r="AX100" i="3"/>
  <c r="AJ100" i="3"/>
  <c r="AB100" i="3"/>
  <c r="L40" i="2"/>
  <c r="J40" i="2"/>
  <c r="AK100" i="3" l="1"/>
  <c r="AY100" i="3"/>
  <c r="AC100" i="3"/>
  <c r="N100" i="3"/>
  <c r="H77" i="3"/>
  <c r="O100" i="3" l="1"/>
  <c r="AZ100" i="3"/>
  <c r="AD100" i="3"/>
  <c r="AL100" i="3"/>
  <c r="H75" i="3"/>
  <c r="H71" i="3"/>
  <c r="AM100" i="3" l="1"/>
  <c r="BA100" i="3"/>
  <c r="AE100" i="3"/>
  <c r="P100" i="3"/>
  <c r="H62" i="3"/>
  <c r="H63" i="3"/>
  <c r="H64" i="3"/>
  <c r="H65" i="3"/>
  <c r="H66" i="3"/>
  <c r="H67" i="3"/>
  <c r="H68" i="3"/>
  <c r="H69" i="3"/>
  <c r="H61" i="3"/>
  <c r="H56" i="3"/>
  <c r="Q100" i="3" l="1"/>
  <c r="BB100" i="3"/>
  <c r="AF100" i="3"/>
  <c r="AN100" i="3"/>
  <c r="BD126" i="3"/>
  <c r="H50" i="3"/>
  <c r="H51" i="3"/>
  <c r="H52" i="3"/>
  <c r="H53" i="3"/>
  <c r="H54" i="3"/>
  <c r="H49" i="3"/>
  <c r="H44" i="3"/>
  <c r="H40" i="3"/>
  <c r="H41" i="3"/>
  <c r="H42" i="3"/>
  <c r="H39" i="3"/>
  <c r="AO100" i="3" l="1"/>
  <c r="BC100" i="3"/>
  <c r="AG100" i="3"/>
  <c r="R100" i="3"/>
  <c r="E69" i="3"/>
  <c r="E67" i="3"/>
  <c r="E66" i="3"/>
  <c r="E65" i="3"/>
  <c r="E64" i="3"/>
  <c r="E63" i="3"/>
  <c r="E62" i="3"/>
  <c r="E61" i="3"/>
  <c r="E43" i="3"/>
  <c r="E42" i="3"/>
  <c r="E41" i="3"/>
  <c r="E40" i="3"/>
  <c r="E39" i="3"/>
  <c r="H32" i="3"/>
  <c r="H28" i="3"/>
  <c r="B26" i="3"/>
  <c r="H26" i="3" s="1"/>
  <c r="B25" i="3"/>
  <c r="H25" i="3" s="1"/>
  <c r="B24" i="3"/>
  <c r="H24" i="3" s="1"/>
  <c r="B23" i="3"/>
  <c r="H23" i="3" s="1"/>
  <c r="B22" i="3"/>
  <c r="H22" i="3" s="1"/>
  <c r="H17" i="3"/>
  <c r="H15" i="3"/>
  <c r="H14" i="3"/>
  <c r="H13" i="3"/>
  <c r="H12" i="3"/>
  <c r="H11" i="3"/>
  <c r="L5" i="3"/>
  <c r="N45" i="2"/>
  <c r="I45" i="2"/>
  <c r="F45" i="2"/>
  <c r="B40" i="2" a="1"/>
  <c r="K35" i="2"/>
  <c r="D35" i="2"/>
  <c r="N34" i="2"/>
  <c r="M34" i="2"/>
  <c r="L34" i="2"/>
  <c r="F34" i="2"/>
  <c r="E34" i="2"/>
  <c r="N33" i="2"/>
  <c r="M33" i="2"/>
  <c r="L33" i="2"/>
  <c r="F33" i="2"/>
  <c r="E33" i="2"/>
  <c r="N32" i="2"/>
  <c r="M32" i="2"/>
  <c r="L32" i="2"/>
  <c r="F32" i="2"/>
  <c r="E32" i="2"/>
  <c r="N31" i="2"/>
  <c r="M31" i="2"/>
  <c r="L31" i="2"/>
  <c r="F31" i="2"/>
  <c r="E31" i="2"/>
  <c r="F69" i="2"/>
  <c r="N30" i="2"/>
  <c r="M30" i="2"/>
  <c r="L30" i="2"/>
  <c r="F30" i="2"/>
  <c r="E30" i="2"/>
  <c r="F68" i="2"/>
  <c r="N29" i="2"/>
  <c r="M29" i="2"/>
  <c r="L29" i="2"/>
  <c r="F29" i="2"/>
  <c r="E29" i="2"/>
  <c r="F67" i="2"/>
  <c r="N28" i="2"/>
  <c r="M28" i="2"/>
  <c r="L28" i="2"/>
  <c r="F28" i="2"/>
  <c r="E28" i="2"/>
  <c r="F66" i="2"/>
  <c r="N27" i="2"/>
  <c r="M27" i="2"/>
  <c r="L27" i="2"/>
  <c r="F27" i="2"/>
  <c r="E27" i="2"/>
  <c r="F65" i="2"/>
  <c r="N26" i="2"/>
  <c r="M26" i="2"/>
  <c r="L26" i="2"/>
  <c r="F26" i="2"/>
  <c r="E26" i="2"/>
  <c r="L25" i="2"/>
  <c r="F25" i="2"/>
  <c r="E25" i="2"/>
  <c r="L24" i="2"/>
  <c r="F24" i="2"/>
  <c r="E24" i="2"/>
  <c r="L23" i="2"/>
  <c r="F23" i="2"/>
  <c r="E23" i="2"/>
  <c r="L22" i="2"/>
  <c r="F22" i="2"/>
  <c r="E22" i="2"/>
  <c r="L21" i="2"/>
  <c r="F21" i="2"/>
  <c r="K40" i="2" s="1"/>
  <c r="E21" i="2"/>
  <c r="L57" i="2"/>
  <c r="K57" i="2"/>
  <c r="L56" i="2"/>
  <c r="K56" i="2"/>
  <c r="L55" i="2"/>
  <c r="K55" i="2"/>
  <c r="L54" i="2"/>
  <c r="K54" i="2"/>
  <c r="L53" i="2"/>
  <c r="K53" i="2"/>
  <c r="N15" i="2"/>
  <c r="I15" i="2"/>
  <c r="J15" i="2" s="1"/>
  <c r="N14" i="2"/>
  <c r="I14" i="2"/>
  <c r="J14" i="2" s="1"/>
  <c r="N13" i="2"/>
  <c r="I13" i="2"/>
  <c r="J13" i="2" s="1"/>
  <c r="F13" i="2"/>
  <c r="E13" i="2"/>
  <c r="N12" i="2"/>
  <c r="I12" i="2"/>
  <c r="J12" i="2" s="1"/>
  <c r="F12" i="2"/>
  <c r="N23" i="2" s="1"/>
  <c r="E12" i="2"/>
  <c r="M23" i="2" s="1"/>
  <c r="N11" i="2"/>
  <c r="I11" i="2"/>
  <c r="J11" i="2" s="1"/>
  <c r="F11" i="2"/>
  <c r="E11" i="2"/>
  <c r="N10" i="2"/>
  <c r="I10" i="2"/>
  <c r="F10" i="2"/>
  <c r="E10" i="2"/>
  <c r="N9" i="2"/>
  <c r="I9" i="2"/>
  <c r="J9" i="2" s="1"/>
  <c r="F9" i="2"/>
  <c r="N22" i="2" s="1"/>
  <c r="E9" i="2"/>
  <c r="M22" i="2" s="1"/>
  <c r="C54" i="2"/>
  <c r="C55" i="2" s="1"/>
  <c r="N8" i="2"/>
  <c r="I8" i="2"/>
  <c r="J8" i="2" s="1"/>
  <c r="F8" i="2"/>
  <c r="N25" i="2" s="1"/>
  <c r="E8" i="2"/>
  <c r="M25" i="2" s="1"/>
  <c r="E53" i="2"/>
  <c r="N7" i="2"/>
  <c r="I7" i="2"/>
  <c r="F7" i="2"/>
  <c r="N21" i="2" s="1"/>
  <c r="E7" i="2"/>
  <c r="M24" i="2" s="1"/>
  <c r="S100" i="3" l="1"/>
  <c r="AH100" i="3"/>
  <c r="AP100" i="3"/>
  <c r="L13" i="2"/>
  <c r="L9" i="2"/>
  <c r="L15" i="2"/>
  <c r="L10" i="2"/>
  <c r="L14" i="2"/>
  <c r="F35" i="2"/>
  <c r="L35" i="2"/>
  <c r="K58" i="2"/>
  <c r="L58" i="2"/>
  <c r="N24" i="2"/>
  <c r="N35" i="2" s="1"/>
  <c r="L11" i="2"/>
  <c r="M5" i="3"/>
  <c r="E44" i="3"/>
  <c r="C56" i="2"/>
  <c r="E55" i="2"/>
  <c r="M44" i="2"/>
  <c r="N57" i="2" s="1"/>
  <c r="M21" i="2"/>
  <c r="D42" i="2"/>
  <c r="J55" i="2" s="1"/>
  <c r="L42" i="2"/>
  <c r="D67" i="2" s="1"/>
  <c r="D44" i="2"/>
  <c r="J57" i="2" s="1"/>
  <c r="L44" i="2"/>
  <c r="D69" i="2" s="1"/>
  <c r="J7" i="2"/>
  <c r="L8" i="2"/>
  <c r="E54" i="2"/>
  <c r="J10" i="2"/>
  <c r="L12" i="2"/>
  <c r="E35" i="2"/>
  <c r="E65" i="2"/>
  <c r="K41" i="2"/>
  <c r="E42" i="2"/>
  <c r="H42" i="2" s="1"/>
  <c r="M42" i="2"/>
  <c r="N55" i="2" s="1"/>
  <c r="K43" i="2"/>
  <c r="E44" i="2"/>
  <c r="H44" i="2" s="1"/>
  <c r="J44" i="2"/>
  <c r="C69" i="2" s="1"/>
  <c r="C44" i="2"/>
  <c r="J43" i="2"/>
  <c r="C68" i="2" s="1"/>
  <c r="C43" i="2"/>
  <c r="J42" i="2"/>
  <c r="C67" i="2" s="1"/>
  <c r="C42" i="2"/>
  <c r="J41" i="2"/>
  <c r="C66" i="2" s="1"/>
  <c r="C41" i="2"/>
  <c r="D41" i="2"/>
  <c r="J54" i="2" s="1"/>
  <c r="L41" i="2"/>
  <c r="D66" i="2" s="1"/>
  <c r="D43" i="2"/>
  <c r="J56" i="2" s="1"/>
  <c r="L43" i="2"/>
  <c r="D68" i="2" s="1"/>
  <c r="I53" i="2"/>
  <c r="B40" i="2"/>
  <c r="E41" i="2"/>
  <c r="H41" i="2" s="1"/>
  <c r="M41" i="2"/>
  <c r="N54" i="2" s="1"/>
  <c r="K42" i="2"/>
  <c r="E43" i="2"/>
  <c r="H43" i="2" s="1"/>
  <c r="M43" i="2"/>
  <c r="N56" i="2" s="1"/>
  <c r="K44" i="2"/>
  <c r="AQ100" i="3" l="1"/>
  <c r="T100" i="3"/>
  <c r="K7" i="2"/>
  <c r="K102" i="3"/>
  <c r="K108" i="3" s="1"/>
  <c r="L102" i="3"/>
  <c r="M102" i="3"/>
  <c r="N5" i="3"/>
  <c r="M35" i="2"/>
  <c r="M40" i="2"/>
  <c r="N53" i="2" s="1"/>
  <c r="E23" i="3"/>
  <c r="L66" i="2"/>
  <c r="E25" i="3"/>
  <c r="L68" i="2"/>
  <c r="E26" i="3"/>
  <c r="L69" i="2"/>
  <c r="E24" i="3"/>
  <c r="L67" i="2"/>
  <c r="K12" i="2"/>
  <c r="M57" i="2"/>
  <c r="M54" i="2"/>
  <c r="K11" i="2"/>
  <c r="M55" i="2"/>
  <c r="K13" i="2"/>
  <c r="M56" i="2"/>
  <c r="L7" i="2"/>
  <c r="M12" i="2" s="1"/>
  <c r="G69" i="2"/>
  <c r="H69" i="2"/>
  <c r="H66" i="2"/>
  <c r="G66" i="2"/>
  <c r="H68" i="2"/>
  <c r="G68" i="2"/>
  <c r="K10" i="2"/>
  <c r="K15" i="2"/>
  <c r="E67" i="2"/>
  <c r="M104" i="3" s="1"/>
  <c r="I55" i="2"/>
  <c r="H67" i="2"/>
  <c r="G67" i="2"/>
  <c r="C40" i="2"/>
  <c r="C45" i="2" s="1"/>
  <c r="E40" i="2"/>
  <c r="D40" i="2"/>
  <c r="I54" i="2"/>
  <c r="E66" i="2"/>
  <c r="K14" i="2"/>
  <c r="K8" i="2"/>
  <c r="K9" i="2"/>
  <c r="E56" i="2"/>
  <c r="C57" i="2"/>
  <c r="U100" i="3" l="1"/>
  <c r="AR100" i="3"/>
  <c r="L108" i="3"/>
  <c r="M108" i="3" s="1"/>
  <c r="K103" i="3"/>
  <c r="K109" i="3" s="1"/>
  <c r="K23" i="3" s="1"/>
  <c r="L103" i="3"/>
  <c r="K104" i="3"/>
  <c r="K110" i="3" s="1"/>
  <c r="L104" i="3"/>
  <c r="M103" i="3"/>
  <c r="K115" i="3"/>
  <c r="L115" i="3" s="1"/>
  <c r="M115" i="3" s="1"/>
  <c r="N115" i="3" s="1"/>
  <c r="O115" i="3" s="1"/>
  <c r="N102" i="3"/>
  <c r="N104" i="3"/>
  <c r="N103" i="3"/>
  <c r="K116" i="3"/>
  <c r="L116" i="3" s="1"/>
  <c r="M116" i="3" s="1"/>
  <c r="N116" i="3" s="1"/>
  <c r="O116" i="3" s="1"/>
  <c r="O5" i="3"/>
  <c r="P5" i="3" s="1"/>
  <c r="M8" i="2"/>
  <c r="K24" i="3"/>
  <c r="E14" i="3"/>
  <c r="K68" i="2"/>
  <c r="M68" i="2" s="1"/>
  <c r="N68" i="2" s="1"/>
  <c r="E12" i="3"/>
  <c r="K66" i="2"/>
  <c r="M66" i="2" s="1"/>
  <c r="N66" i="2" s="1"/>
  <c r="E15" i="3"/>
  <c r="K69" i="2"/>
  <c r="M69" i="2" s="1"/>
  <c r="N69" i="2" s="1"/>
  <c r="E13" i="3"/>
  <c r="K67" i="2"/>
  <c r="M67" i="2" s="1"/>
  <c r="N67" i="2" s="1"/>
  <c r="E57" i="2"/>
  <c r="E58" i="2" s="1"/>
  <c r="C58" i="2"/>
  <c r="C65" i="2"/>
  <c r="C70" i="2" s="1"/>
  <c r="J45" i="2"/>
  <c r="C103" i="3" s="1"/>
  <c r="E68" i="3" s="1"/>
  <c r="E71" i="3" s="1"/>
  <c r="E68" i="2"/>
  <c r="I56" i="2"/>
  <c r="M45" i="2"/>
  <c r="N58" i="2"/>
  <c r="E45" i="2"/>
  <c r="H45" i="2" s="1"/>
  <c r="H40" i="2"/>
  <c r="J53" i="2"/>
  <c r="D45" i="2"/>
  <c r="K45" i="2"/>
  <c r="M53" i="2"/>
  <c r="M58" i="2" s="1"/>
  <c r="L45" i="2"/>
  <c r="D65" i="2"/>
  <c r="D70" i="2" s="1"/>
  <c r="M7" i="2"/>
  <c r="M10" i="2"/>
  <c r="M14" i="2"/>
  <c r="M13" i="2"/>
  <c r="M11" i="2"/>
  <c r="M9" i="2"/>
  <c r="M15" i="2"/>
  <c r="J58" i="2" l="1"/>
  <c r="AJ49" i="3" a="1"/>
  <c r="AJ49" i="3" s="1"/>
  <c r="AL49" i="3" a="1"/>
  <c r="AL49" i="3" s="1"/>
  <c r="AN49" i="3" a="1"/>
  <c r="AN49" i="3" s="1"/>
  <c r="AP49" i="3" a="1"/>
  <c r="AP49" i="3" s="1"/>
  <c r="AR49" i="3" a="1"/>
  <c r="AR49" i="3" s="1"/>
  <c r="AT49" i="3" a="1"/>
  <c r="AT49" i="3" s="1"/>
  <c r="AV49" i="3" a="1"/>
  <c r="AV49" i="3" s="1"/>
  <c r="AX49" i="3" a="1"/>
  <c r="AX49" i="3" s="1"/>
  <c r="AZ49" i="3" a="1"/>
  <c r="AZ49" i="3" s="1"/>
  <c r="BB49" i="3" a="1"/>
  <c r="BB49" i="3" s="1"/>
  <c r="L49" i="3" a="1"/>
  <c r="L49" i="3" s="1"/>
  <c r="N49" i="3" a="1"/>
  <c r="N49" i="3" s="1"/>
  <c r="P49" i="3" a="1"/>
  <c r="P49" i="3" s="1"/>
  <c r="R49" i="3" a="1"/>
  <c r="R49" i="3" s="1"/>
  <c r="X49" i="3" a="1"/>
  <c r="X49" i="3" s="1"/>
  <c r="AD49" i="3" a="1"/>
  <c r="AD49" i="3" s="1"/>
  <c r="K49" i="3" a="1"/>
  <c r="K49" i="3" s="1"/>
  <c r="AM49" i="3" a="1"/>
  <c r="AM49" i="3" s="1"/>
  <c r="AO49" i="3" a="1"/>
  <c r="AO49" i="3" s="1"/>
  <c r="AS49" i="3" a="1"/>
  <c r="AS49" i="3" s="1"/>
  <c r="AW49" i="3" a="1"/>
  <c r="AW49" i="3" s="1"/>
  <c r="AY49" i="3" a="1"/>
  <c r="AY49" i="3" s="1"/>
  <c r="BC49" i="3" a="1"/>
  <c r="BC49" i="3" s="1"/>
  <c r="O49" i="3" a="1"/>
  <c r="O49" i="3" s="1"/>
  <c r="S49" i="3" a="1"/>
  <c r="S49" i="3" s="1"/>
  <c r="W49" i="3" a="1"/>
  <c r="W49" i="3" s="1"/>
  <c r="AC49" i="3" a="1"/>
  <c r="AC49" i="3" s="1"/>
  <c r="AE49" i="3" a="1"/>
  <c r="AE49" i="3" s="1"/>
  <c r="AI49" i="3" a="1"/>
  <c r="AI49" i="3" s="1"/>
  <c r="V49" i="3" a="1"/>
  <c r="V49" i="3" s="1"/>
  <c r="AB49" i="3" a="1"/>
  <c r="AB49" i="3" s="1"/>
  <c r="AF49" i="3" a="1"/>
  <c r="AF49" i="3" s="1"/>
  <c r="AK49" i="3" a="1"/>
  <c r="AK49" i="3" s="1"/>
  <c r="AQ49" i="3" a="1"/>
  <c r="AQ49" i="3" s="1"/>
  <c r="AU49" i="3" a="1"/>
  <c r="AU49" i="3" s="1"/>
  <c r="BA49" i="3" a="1"/>
  <c r="BA49" i="3" s="1"/>
  <c r="M49" i="3" a="1"/>
  <c r="M49" i="3" s="1"/>
  <c r="Q49" i="3" a="1"/>
  <c r="Q49" i="3" s="1"/>
  <c r="U49" i="3" a="1"/>
  <c r="U49" i="3" s="1"/>
  <c r="Y49" i="3" a="1"/>
  <c r="Y49" i="3" s="1"/>
  <c r="AA49" i="3" a="1"/>
  <c r="AA49" i="3" s="1"/>
  <c r="AG49" i="3" a="1"/>
  <c r="AG49" i="3" s="1"/>
  <c r="T49" i="3" a="1"/>
  <c r="T49" i="3" s="1"/>
  <c r="Z49" i="3" a="1"/>
  <c r="Z49" i="3" s="1"/>
  <c r="AH49" i="3" a="1"/>
  <c r="AH49" i="3" s="1"/>
  <c r="AS100" i="3"/>
  <c r="V100" i="3"/>
  <c r="D58" i="2"/>
  <c r="L110" i="3"/>
  <c r="L24" i="3" s="1"/>
  <c r="N108" i="3"/>
  <c r="L109" i="3"/>
  <c r="L23" i="3" s="1"/>
  <c r="N105" i="3"/>
  <c r="K105" i="3"/>
  <c r="K111" i="3" s="1"/>
  <c r="L105" i="3"/>
  <c r="M105" i="3"/>
  <c r="K117" i="3"/>
  <c r="L117" i="3" s="1"/>
  <c r="M117" i="3" s="1"/>
  <c r="N117" i="3" s="1"/>
  <c r="O117" i="3" s="1"/>
  <c r="P117" i="3" s="1"/>
  <c r="P116" i="3"/>
  <c r="P103" i="3"/>
  <c r="P105" i="3"/>
  <c r="P102" i="3"/>
  <c r="P104" i="3"/>
  <c r="P115" i="3"/>
  <c r="O103" i="3"/>
  <c r="O105" i="3"/>
  <c r="O102" i="3"/>
  <c r="O104" i="3"/>
  <c r="K121" i="3"/>
  <c r="K12" i="3" s="1"/>
  <c r="K122" i="3"/>
  <c r="K13" i="3" s="1"/>
  <c r="E22" i="3"/>
  <c r="K22" i="3" s="1"/>
  <c r="L65" i="2"/>
  <c r="E11" i="3"/>
  <c r="K65" i="2"/>
  <c r="K70" i="2" s="1"/>
  <c r="K25" i="3"/>
  <c r="Q5" i="3"/>
  <c r="I57" i="2"/>
  <c r="E69" i="2"/>
  <c r="N84" i="3" s="1"/>
  <c r="E54" i="3"/>
  <c r="E50" i="3"/>
  <c r="C105" i="3"/>
  <c r="E53" i="3"/>
  <c r="E49" i="3"/>
  <c r="E52" i="3"/>
  <c r="E51" i="3"/>
  <c r="G65" i="2"/>
  <c r="H65" i="2"/>
  <c r="H70" i="2" s="1"/>
  <c r="AT100" i="3" l="1"/>
  <c r="O108" i="3"/>
  <c r="M110" i="3"/>
  <c r="N110" i="3" s="1"/>
  <c r="O110" i="3" s="1"/>
  <c r="P110" i="3" s="1"/>
  <c r="P108" i="3"/>
  <c r="K106" i="3"/>
  <c r="K112" i="3" s="1"/>
  <c r="K26" i="3" s="1"/>
  <c r="K28" i="3" s="1"/>
  <c r="L106" i="3"/>
  <c r="M106" i="3"/>
  <c r="K118" i="3"/>
  <c r="L118" i="3" s="1"/>
  <c r="M118" i="3" s="1"/>
  <c r="N118" i="3" s="1"/>
  <c r="O118" i="3" s="1"/>
  <c r="P118" i="3" s="1"/>
  <c r="Q118" i="3" s="1"/>
  <c r="N106" i="3"/>
  <c r="O84" i="3"/>
  <c r="P106" i="3"/>
  <c r="E28" i="3"/>
  <c r="O106" i="3"/>
  <c r="P84" i="3"/>
  <c r="K84" i="3"/>
  <c r="K85" i="3" s="1"/>
  <c r="K86" i="3" s="1"/>
  <c r="L84" i="3"/>
  <c r="L111" i="3"/>
  <c r="M111" i="3" s="1"/>
  <c r="N111" i="3" s="1"/>
  <c r="O111" i="3" s="1"/>
  <c r="P111" i="3" s="1"/>
  <c r="M109" i="3"/>
  <c r="M84" i="3"/>
  <c r="K114" i="3"/>
  <c r="K120" i="3" s="1"/>
  <c r="K11" i="3" s="1"/>
  <c r="Q102" i="3"/>
  <c r="Q104" i="3"/>
  <c r="Q106" i="3"/>
  <c r="Q84" i="3"/>
  <c r="Q103" i="3"/>
  <c r="Q105" i="3"/>
  <c r="Q115" i="3"/>
  <c r="Q117" i="3"/>
  <c r="R117" i="3" s="1"/>
  <c r="Q116" i="3"/>
  <c r="O22" i="3"/>
  <c r="E17" i="3"/>
  <c r="M24" i="3"/>
  <c r="L22" i="3"/>
  <c r="K123" i="3"/>
  <c r="K14" i="3" s="1"/>
  <c r="L121" i="3"/>
  <c r="L12" i="3" s="1"/>
  <c r="L122" i="3"/>
  <c r="L13" i="3" s="1"/>
  <c r="L123" i="3"/>
  <c r="M22" i="3"/>
  <c r="N22" i="3"/>
  <c r="M65" i="2"/>
  <c r="L70" i="2"/>
  <c r="R5" i="3"/>
  <c r="N24" i="3"/>
  <c r="E56" i="3"/>
  <c r="E75" i="3" s="1"/>
  <c r="AU100" i="3" l="1"/>
  <c r="N65" i="2"/>
  <c r="M70" i="2"/>
  <c r="D83" i="3" s="1"/>
  <c r="Q108" i="3"/>
  <c r="E32" i="3"/>
  <c r="E77" i="3" s="1"/>
  <c r="L114" i="3"/>
  <c r="M114" i="3" s="1"/>
  <c r="N114" i="3" s="1"/>
  <c r="O114" i="3" s="1"/>
  <c r="P114" i="3" s="1"/>
  <c r="Q114" i="3" s="1"/>
  <c r="R114" i="3" s="1"/>
  <c r="M23" i="3"/>
  <c r="N109" i="3"/>
  <c r="Q111" i="3"/>
  <c r="L112" i="3"/>
  <c r="M112" i="3" s="1"/>
  <c r="N112" i="3" s="1"/>
  <c r="O112" i="3" s="1"/>
  <c r="P112" i="3" s="1"/>
  <c r="Q112" i="3" s="1"/>
  <c r="Q110" i="3"/>
  <c r="R115" i="3"/>
  <c r="R102" i="3"/>
  <c r="R104" i="3"/>
  <c r="R106" i="3"/>
  <c r="R84" i="3"/>
  <c r="R105" i="3"/>
  <c r="R111" i="3" s="1"/>
  <c r="R103" i="3"/>
  <c r="R118" i="3"/>
  <c r="R116" i="3"/>
  <c r="L14" i="3"/>
  <c r="K124" i="3"/>
  <c r="K15" i="3" s="1"/>
  <c r="M123" i="3"/>
  <c r="M14" i="3" s="1"/>
  <c r="K87" i="3"/>
  <c r="M122" i="3"/>
  <c r="M13" i="3" s="1"/>
  <c r="M121" i="3"/>
  <c r="M12" i="3" s="1"/>
  <c r="N70" i="2"/>
  <c r="L25" i="3"/>
  <c r="L124" i="3"/>
  <c r="K126" i="3"/>
  <c r="O24" i="3"/>
  <c r="S5" i="3"/>
  <c r="P22" i="3"/>
  <c r="S117" i="3" l="1"/>
  <c r="S116" i="3"/>
  <c r="C87" i="3"/>
  <c r="C88" i="3" s="1"/>
  <c r="C89" i="3" s="1"/>
  <c r="R108" i="3"/>
  <c r="L120" i="3"/>
  <c r="L11" i="3" s="1"/>
  <c r="R110" i="3"/>
  <c r="L26" i="3"/>
  <c r="L28" i="3" s="1"/>
  <c r="R112" i="3"/>
  <c r="N23" i="3"/>
  <c r="O109" i="3"/>
  <c r="K127" i="3" a="1"/>
  <c r="K127" i="3" s="1"/>
  <c r="K128" i="3" s="1"/>
  <c r="S114" i="3"/>
  <c r="S103" i="3"/>
  <c r="S105" i="3"/>
  <c r="S111" i="3" s="1"/>
  <c r="S102" i="3"/>
  <c r="S108" i="3" s="1"/>
  <c r="S104" i="3"/>
  <c r="S106" i="3"/>
  <c r="S84" i="3"/>
  <c r="S118" i="3"/>
  <c r="S115" i="3"/>
  <c r="M26" i="3"/>
  <c r="K88" i="3"/>
  <c r="K89" i="3" s="1"/>
  <c r="L85" i="3" s="1"/>
  <c r="N122" i="3"/>
  <c r="N13" i="3" s="1"/>
  <c r="N121" i="3"/>
  <c r="N12" i="3" s="1"/>
  <c r="N123" i="3"/>
  <c r="L126" i="3"/>
  <c r="M124" i="3"/>
  <c r="L15" i="3"/>
  <c r="M25" i="3"/>
  <c r="Q22" i="3"/>
  <c r="P24" i="3"/>
  <c r="T5" i="3"/>
  <c r="M120" i="3"/>
  <c r="K17" i="3"/>
  <c r="K42" i="3" l="1"/>
  <c r="K39" i="3"/>
  <c r="K41" i="3"/>
  <c r="K40" i="3"/>
  <c r="E94" i="3"/>
  <c r="C90" i="3"/>
  <c r="S112" i="3"/>
  <c r="M28" i="3"/>
  <c r="S110" i="3"/>
  <c r="O23" i="3"/>
  <c r="P109" i="3"/>
  <c r="T114" i="3"/>
  <c r="L127" i="3" a="1"/>
  <c r="L127" i="3" s="1"/>
  <c r="L128" i="3" s="1"/>
  <c r="T103" i="3"/>
  <c r="T105" i="3"/>
  <c r="T111" i="3" s="1"/>
  <c r="T104" i="3"/>
  <c r="T102" i="3"/>
  <c r="T108" i="3" s="1"/>
  <c r="T84" i="3"/>
  <c r="T106" i="3"/>
  <c r="T112" i="3" s="1"/>
  <c r="T115" i="3"/>
  <c r="T118" i="3"/>
  <c r="T116" i="3"/>
  <c r="T117" i="3"/>
  <c r="L87" i="3"/>
  <c r="L86" i="3"/>
  <c r="N14" i="3"/>
  <c r="O122" i="3"/>
  <c r="O13" i="3" s="1"/>
  <c r="O123" i="3"/>
  <c r="O14" i="3" s="1"/>
  <c r="O121" i="3"/>
  <c r="O12" i="3" s="1"/>
  <c r="M126" i="3"/>
  <c r="L17" i="3"/>
  <c r="N124" i="3"/>
  <c r="M15" i="3"/>
  <c r="N25" i="3"/>
  <c r="N26" i="3"/>
  <c r="R22" i="3"/>
  <c r="U5" i="3"/>
  <c r="Q24" i="3"/>
  <c r="K32" i="3"/>
  <c r="K61" i="3" s="1"/>
  <c r="N120" i="3"/>
  <c r="M11" i="3"/>
  <c r="L39" i="3" l="1"/>
  <c r="L40" i="3"/>
  <c r="L42" i="3"/>
  <c r="L41" i="3"/>
  <c r="T110" i="3"/>
  <c r="U114" i="3"/>
  <c r="P23" i="3"/>
  <c r="Q109" i="3"/>
  <c r="L88" i="3"/>
  <c r="L89" i="3" s="1"/>
  <c r="M85" i="3" s="1"/>
  <c r="M86" i="3" s="1"/>
  <c r="U118" i="3"/>
  <c r="U102" i="3"/>
  <c r="U108" i="3" s="1"/>
  <c r="U104" i="3"/>
  <c r="U110" i="3" s="1"/>
  <c r="U106" i="3"/>
  <c r="U112" i="3" s="1"/>
  <c r="U84" i="3"/>
  <c r="U103" i="3"/>
  <c r="U105" i="3"/>
  <c r="U111" i="3" s="1"/>
  <c r="M127" i="3" a="1"/>
  <c r="M127" i="3" s="1"/>
  <c r="M128" i="3" s="1"/>
  <c r="U117" i="3"/>
  <c r="U116" i="3"/>
  <c r="U115" i="3"/>
  <c r="P123" i="3"/>
  <c r="P121" i="3"/>
  <c r="P12" i="3" s="1"/>
  <c r="P122" i="3"/>
  <c r="P13" i="3" s="1"/>
  <c r="L32" i="3"/>
  <c r="L69" i="3" s="1"/>
  <c r="O124" i="3"/>
  <c r="N15" i="3"/>
  <c r="N28" i="3"/>
  <c r="O25" i="3"/>
  <c r="N126" i="3"/>
  <c r="O26" i="3"/>
  <c r="K44" i="3"/>
  <c r="K69" i="3"/>
  <c r="S22" i="3"/>
  <c r="V5" i="3"/>
  <c r="R24" i="3"/>
  <c r="O120" i="3"/>
  <c r="N11" i="3"/>
  <c r="M17" i="3"/>
  <c r="M40" i="3" l="1"/>
  <c r="M41" i="3"/>
  <c r="M42" i="3"/>
  <c r="M39" i="3"/>
  <c r="L61" i="3"/>
  <c r="M87" i="3"/>
  <c r="M88" i="3" s="1"/>
  <c r="M89" i="3" s="1"/>
  <c r="N85" i="3" s="1"/>
  <c r="N86" i="3" s="1"/>
  <c r="Q23" i="3"/>
  <c r="R109" i="3"/>
  <c r="V117" i="3"/>
  <c r="N127" i="3" a="1"/>
  <c r="N127" i="3" s="1"/>
  <c r="N128" i="3" s="1"/>
  <c r="V115" i="3"/>
  <c r="V102" i="3"/>
  <c r="V108" i="3" s="1"/>
  <c r="V104" i="3"/>
  <c r="V110" i="3" s="1"/>
  <c r="V106" i="3"/>
  <c r="V112" i="3" s="1"/>
  <c r="V84" i="3"/>
  <c r="V103" i="3"/>
  <c r="V105" i="3"/>
  <c r="V111" i="3" s="1"/>
  <c r="V116" i="3"/>
  <c r="V118" i="3"/>
  <c r="V114" i="3"/>
  <c r="P14" i="3"/>
  <c r="Q122" i="3"/>
  <c r="Q13" i="3" s="1"/>
  <c r="Q123" i="3"/>
  <c r="Q14" i="3" s="1"/>
  <c r="Q121" i="3"/>
  <c r="Q12" i="3" s="1"/>
  <c r="L44" i="3"/>
  <c r="O126" i="3"/>
  <c r="N17" i="3"/>
  <c r="O28" i="3"/>
  <c r="P26" i="3"/>
  <c r="P25" i="3"/>
  <c r="P124" i="3"/>
  <c r="O15" i="3"/>
  <c r="W5" i="3"/>
  <c r="T22" i="3"/>
  <c r="S24" i="3"/>
  <c r="M32" i="3"/>
  <c r="M69" i="3" s="1"/>
  <c r="P120" i="3"/>
  <c r="O11" i="3"/>
  <c r="N39" i="3" l="1"/>
  <c r="N40" i="3"/>
  <c r="N41" i="3"/>
  <c r="N42" i="3"/>
  <c r="W117" i="3"/>
  <c r="S109" i="3"/>
  <c r="R23" i="3"/>
  <c r="N87" i="3"/>
  <c r="N88" i="3" s="1"/>
  <c r="N89" i="3" s="1"/>
  <c r="O85" i="3" s="1"/>
  <c r="O86" i="3" s="1"/>
  <c r="W116" i="3"/>
  <c r="O127" i="3" a="1"/>
  <c r="O127" i="3" s="1"/>
  <c r="O128" i="3" s="1"/>
  <c r="W115" i="3"/>
  <c r="W103" i="3"/>
  <c r="W105" i="3"/>
  <c r="W111" i="3" s="1"/>
  <c r="W102" i="3"/>
  <c r="W108" i="3" s="1"/>
  <c r="W104" i="3"/>
  <c r="W110" i="3" s="1"/>
  <c r="W106" i="3"/>
  <c r="W112" i="3" s="1"/>
  <c r="W84" i="3"/>
  <c r="W114" i="3"/>
  <c r="W118" i="3"/>
  <c r="R122" i="3"/>
  <c r="R13" i="3" s="1"/>
  <c r="R123" i="3"/>
  <c r="R121" i="3"/>
  <c r="R12" i="3" s="1"/>
  <c r="N32" i="3"/>
  <c r="N69" i="3" s="1"/>
  <c r="P126" i="3"/>
  <c r="Q26" i="3"/>
  <c r="O17" i="3"/>
  <c r="Q124" i="3"/>
  <c r="P15" i="3"/>
  <c r="Q25" i="3"/>
  <c r="P28" i="3"/>
  <c r="M44" i="3"/>
  <c r="M61" i="3"/>
  <c r="U22" i="3"/>
  <c r="T24" i="3"/>
  <c r="X5" i="3"/>
  <c r="X117" i="3" s="1"/>
  <c r="Q120" i="3"/>
  <c r="P11" i="3"/>
  <c r="O39" i="3" l="1"/>
  <c r="O40" i="3"/>
  <c r="O41" i="3"/>
  <c r="O42" i="3"/>
  <c r="S23" i="3"/>
  <c r="T109" i="3"/>
  <c r="X115" i="3"/>
  <c r="X118" i="3"/>
  <c r="X103" i="3"/>
  <c r="X109" i="3" s="1"/>
  <c r="X105" i="3"/>
  <c r="X111" i="3" s="1"/>
  <c r="X106" i="3"/>
  <c r="X112" i="3" s="1"/>
  <c r="X104" i="3"/>
  <c r="X110" i="3" s="1"/>
  <c r="X102" i="3"/>
  <c r="X108" i="3" s="1"/>
  <c r="X84" i="3"/>
  <c r="P127" i="3" a="1"/>
  <c r="P127" i="3" s="1"/>
  <c r="P128" i="3" s="1"/>
  <c r="X114" i="3"/>
  <c r="X116" i="3"/>
  <c r="R14" i="3"/>
  <c r="N61" i="3"/>
  <c r="S121" i="3"/>
  <c r="S12" i="3" s="1"/>
  <c r="S122" i="3"/>
  <c r="S13" i="3" s="1"/>
  <c r="S123" i="3"/>
  <c r="S14" i="3" s="1"/>
  <c r="O87" i="3"/>
  <c r="P17" i="3"/>
  <c r="Q28" i="3"/>
  <c r="N44" i="3"/>
  <c r="Q126" i="3"/>
  <c r="O32" i="3"/>
  <c r="R25" i="3"/>
  <c r="R26" i="3"/>
  <c r="R124" i="3"/>
  <c r="Q15" i="3"/>
  <c r="V22" i="3"/>
  <c r="Y5" i="3"/>
  <c r="Y117" i="3" s="1"/>
  <c r="U24" i="3"/>
  <c r="R120" i="3"/>
  <c r="Q11" i="3"/>
  <c r="O61" i="3" l="1"/>
  <c r="O69" i="3"/>
  <c r="P39" i="3"/>
  <c r="P41" i="3"/>
  <c r="P40" i="3"/>
  <c r="P42" i="3"/>
  <c r="U109" i="3"/>
  <c r="T23" i="3"/>
  <c r="Y118" i="3"/>
  <c r="Q127" i="3" a="1"/>
  <c r="Q127" i="3" s="1"/>
  <c r="Q128" i="3" s="1"/>
  <c r="Y116" i="3"/>
  <c r="Y115" i="3"/>
  <c r="Y102" i="3"/>
  <c r="Y108" i="3" s="1"/>
  <c r="Y104" i="3"/>
  <c r="Y110" i="3" s="1"/>
  <c r="Y106" i="3"/>
  <c r="Y112" i="3" s="1"/>
  <c r="Y84" i="3"/>
  <c r="Y103" i="3"/>
  <c r="Y109" i="3" s="1"/>
  <c r="Y105" i="3"/>
  <c r="Y111" i="3" s="1"/>
  <c r="Y114" i="3"/>
  <c r="P32" i="3"/>
  <c r="P69" i="3" s="1"/>
  <c r="T121" i="3"/>
  <c r="T12" i="3" s="1"/>
  <c r="T123" i="3"/>
  <c r="T14" i="3" s="1"/>
  <c r="O88" i="3"/>
  <c r="O89" i="3" s="1"/>
  <c r="P85" i="3" s="1"/>
  <c r="P86" i="3" s="1"/>
  <c r="T122" i="3"/>
  <c r="T13" i="3" s="1"/>
  <c r="Q17" i="3"/>
  <c r="O44" i="3"/>
  <c r="R126" i="3"/>
  <c r="R28" i="3"/>
  <c r="S124" i="3"/>
  <c r="R15" i="3"/>
  <c r="S25" i="3"/>
  <c r="S26" i="3"/>
  <c r="W22" i="3"/>
  <c r="X23" i="3"/>
  <c r="Z5" i="3"/>
  <c r="V24" i="3"/>
  <c r="S120" i="3"/>
  <c r="R11" i="3"/>
  <c r="Q40" i="3" l="1"/>
  <c r="Q41" i="3"/>
  <c r="Q42" i="3"/>
  <c r="Q39" i="3"/>
  <c r="V109" i="3"/>
  <c r="U23" i="3"/>
  <c r="Z102" i="3"/>
  <c r="Z108" i="3" s="1"/>
  <c r="Z104" i="3"/>
  <c r="Z110" i="3" s="1"/>
  <c r="Z106" i="3"/>
  <c r="Z112" i="3" s="1"/>
  <c r="Z84" i="3"/>
  <c r="Z103" i="3"/>
  <c r="Z109" i="3" s="1"/>
  <c r="Z105" i="3"/>
  <c r="Z111" i="3" s="1"/>
  <c r="Z117" i="3"/>
  <c r="Z114" i="3"/>
  <c r="Z115" i="3"/>
  <c r="R127" i="3" a="1"/>
  <c r="R127" i="3" s="1"/>
  <c r="R128" i="3" s="1"/>
  <c r="Z116" i="3"/>
  <c r="Z118" i="3"/>
  <c r="P44" i="3"/>
  <c r="P61" i="3"/>
  <c r="Q32" i="3"/>
  <c r="U122" i="3"/>
  <c r="U13" i="3" s="1"/>
  <c r="U121" i="3"/>
  <c r="U12" i="3" s="1"/>
  <c r="P87" i="3"/>
  <c r="U123" i="3"/>
  <c r="S126" i="3"/>
  <c r="R17" i="3"/>
  <c r="T26" i="3"/>
  <c r="T25" i="3"/>
  <c r="T124" i="3"/>
  <c r="S15" i="3"/>
  <c r="S28" i="3"/>
  <c r="X22" i="3"/>
  <c r="W24" i="3"/>
  <c r="AA5" i="3"/>
  <c r="T120" i="3"/>
  <c r="S11" i="3"/>
  <c r="R41" i="3" l="1"/>
  <c r="R42" i="3"/>
  <c r="R39" i="3"/>
  <c r="R40" i="3"/>
  <c r="Q61" i="3"/>
  <c r="Q69" i="3"/>
  <c r="W109" i="3"/>
  <c r="W23" i="3" s="1"/>
  <c r="V23" i="3"/>
  <c r="AA103" i="3"/>
  <c r="AA109" i="3" s="1"/>
  <c r="AA105" i="3"/>
  <c r="AA111" i="3" s="1"/>
  <c r="AA102" i="3"/>
  <c r="AA108" i="3" s="1"/>
  <c r="AA104" i="3"/>
  <c r="AA110" i="3" s="1"/>
  <c r="AA106" i="3"/>
  <c r="AA112" i="3" s="1"/>
  <c r="AA84" i="3"/>
  <c r="AA117" i="3"/>
  <c r="S127" i="3" a="1"/>
  <c r="S127" i="3" s="1"/>
  <c r="S128" i="3" s="1"/>
  <c r="AA118" i="3"/>
  <c r="AA115" i="3"/>
  <c r="AA116" i="3"/>
  <c r="AA114" i="3"/>
  <c r="S17" i="3"/>
  <c r="Q44" i="3"/>
  <c r="U14" i="3"/>
  <c r="R32" i="3"/>
  <c r="P88" i="3"/>
  <c r="P89" i="3" s="1"/>
  <c r="Q85" i="3" s="1"/>
  <c r="V123" i="3"/>
  <c r="V121" i="3"/>
  <c r="V12" i="3" s="1"/>
  <c r="V122" i="3"/>
  <c r="V13" i="3" s="1"/>
  <c r="T126" i="3"/>
  <c r="T28" i="3"/>
  <c r="U25" i="3"/>
  <c r="U26" i="3"/>
  <c r="U124" i="3"/>
  <c r="T15" i="3"/>
  <c r="Y22" i="3"/>
  <c r="Y23" i="3"/>
  <c r="AB5" i="3"/>
  <c r="X24" i="3"/>
  <c r="T11" i="3"/>
  <c r="R61" i="3" l="1"/>
  <c r="R69" i="3"/>
  <c r="S32" i="3"/>
  <c r="S69" i="3" s="1"/>
  <c r="S39" i="3"/>
  <c r="S40" i="3"/>
  <c r="S41" i="3"/>
  <c r="S42" i="3"/>
  <c r="AB115" i="3"/>
  <c r="AB118" i="3"/>
  <c r="AB117" i="3"/>
  <c r="AB114" i="3"/>
  <c r="AB103" i="3"/>
  <c r="AB109" i="3" s="1"/>
  <c r="AB105" i="3"/>
  <c r="AB111" i="3" s="1"/>
  <c r="AB106" i="3"/>
  <c r="AB112" i="3" s="1"/>
  <c r="AB84" i="3"/>
  <c r="AB104" i="3"/>
  <c r="AB110" i="3" s="1"/>
  <c r="AB102" i="3"/>
  <c r="AB108" i="3" s="1"/>
  <c r="T127" i="3" a="1"/>
  <c r="T127" i="3" s="1"/>
  <c r="T128" i="3" s="1"/>
  <c r="AB116" i="3"/>
  <c r="Q87" i="3"/>
  <c r="Q86" i="3"/>
  <c r="V14" i="3"/>
  <c r="T17" i="3"/>
  <c r="W121" i="3"/>
  <c r="W12" i="3" s="1"/>
  <c r="W123" i="3"/>
  <c r="U126" i="3"/>
  <c r="U120" i="3"/>
  <c r="U11" i="3" s="1"/>
  <c r="W122" i="3"/>
  <c r="W13" i="3" s="1"/>
  <c r="R44" i="3"/>
  <c r="V124" i="3"/>
  <c r="U15" i="3"/>
  <c r="U28" i="3"/>
  <c r="V26" i="3"/>
  <c r="V25" i="3"/>
  <c r="S61" i="3"/>
  <c r="Z22" i="3"/>
  <c r="Z23" i="3"/>
  <c r="Y24" i="3"/>
  <c r="AC5" i="3"/>
  <c r="V120" i="3"/>
  <c r="T39" i="3" l="1"/>
  <c r="T40" i="3"/>
  <c r="T42" i="3"/>
  <c r="T41" i="3"/>
  <c r="S44" i="3"/>
  <c r="T32" i="3"/>
  <c r="T69" i="3" s="1"/>
  <c r="AC114" i="3"/>
  <c r="Q88" i="3"/>
  <c r="Q89" i="3" s="1"/>
  <c r="R85" i="3" s="1"/>
  <c r="R86" i="3" s="1"/>
  <c r="AC117" i="3"/>
  <c r="AC118" i="3"/>
  <c r="AC102" i="3"/>
  <c r="AC108" i="3" s="1"/>
  <c r="AC104" i="3"/>
  <c r="AC110" i="3" s="1"/>
  <c r="AC106" i="3"/>
  <c r="AC112" i="3" s="1"/>
  <c r="AC84" i="3"/>
  <c r="AC103" i="3"/>
  <c r="AC109" i="3" s="1"/>
  <c r="AC105" i="3"/>
  <c r="AC111" i="3" s="1"/>
  <c r="U127" i="3" a="1"/>
  <c r="U127" i="3" s="1"/>
  <c r="U128" i="3" s="1"/>
  <c r="AC116" i="3"/>
  <c r="AC115" i="3"/>
  <c r="W14" i="3"/>
  <c r="X121" i="3"/>
  <c r="X12" i="3" s="1"/>
  <c r="X122" i="3"/>
  <c r="X13" i="3" s="1"/>
  <c r="X123" i="3"/>
  <c r="V126" i="3"/>
  <c r="V28" i="3"/>
  <c r="W26" i="3"/>
  <c r="W124" i="3"/>
  <c r="V15" i="3"/>
  <c r="U17" i="3"/>
  <c r="W25" i="3"/>
  <c r="AA22" i="3"/>
  <c r="AA23" i="3"/>
  <c r="Z24" i="3"/>
  <c r="AD5" i="3"/>
  <c r="W120" i="3"/>
  <c r="V11" i="3"/>
  <c r="U40" i="3" l="1"/>
  <c r="U41" i="3"/>
  <c r="U42" i="3"/>
  <c r="U39" i="3"/>
  <c r="T61" i="3"/>
  <c r="R87" i="3"/>
  <c r="R88" i="3" s="1"/>
  <c r="R89" i="3" s="1"/>
  <c r="S85" i="3" s="1"/>
  <c r="S86" i="3" s="1"/>
  <c r="AD114" i="3"/>
  <c r="AD102" i="3"/>
  <c r="AD108" i="3" s="1"/>
  <c r="AD104" i="3"/>
  <c r="AD110" i="3" s="1"/>
  <c r="AD106" i="3"/>
  <c r="AD112" i="3" s="1"/>
  <c r="AD105" i="3"/>
  <c r="AD111" i="3" s="1"/>
  <c r="AD103" i="3"/>
  <c r="AD109" i="3" s="1"/>
  <c r="AD84" i="3"/>
  <c r="V127" i="3" a="1"/>
  <c r="V127" i="3" s="1"/>
  <c r="V128" i="3" s="1"/>
  <c r="AD115" i="3"/>
  <c r="AD118" i="3"/>
  <c r="AD116" i="3"/>
  <c r="AD117" i="3"/>
  <c r="T44" i="3"/>
  <c r="U32" i="3"/>
  <c r="W28" i="3"/>
  <c r="Y123" i="3"/>
  <c r="Y14" i="3" s="1"/>
  <c r="Y121" i="3"/>
  <c r="Y12" i="3" s="1"/>
  <c r="Y122" i="3"/>
  <c r="Y13" i="3" s="1"/>
  <c r="W126" i="3"/>
  <c r="X124" i="3"/>
  <c r="W15" i="3"/>
  <c r="V17" i="3"/>
  <c r="X26" i="3"/>
  <c r="X25" i="3"/>
  <c r="X14" i="3"/>
  <c r="AB22" i="3"/>
  <c r="AE5" i="3"/>
  <c r="AB23" i="3"/>
  <c r="AA24" i="3"/>
  <c r="W11" i="3"/>
  <c r="V39" i="3" l="1"/>
  <c r="V40" i="3"/>
  <c r="V41" i="3"/>
  <c r="V42" i="3"/>
  <c r="U61" i="3"/>
  <c r="U69" i="3"/>
  <c r="S87" i="3"/>
  <c r="AE103" i="3"/>
  <c r="AE109" i="3" s="1"/>
  <c r="AE105" i="3"/>
  <c r="AE111" i="3" s="1"/>
  <c r="AE102" i="3"/>
  <c r="AE108" i="3" s="1"/>
  <c r="AE104" i="3"/>
  <c r="AE110" i="3" s="1"/>
  <c r="AE106" i="3"/>
  <c r="AE112" i="3" s="1"/>
  <c r="AE84" i="3"/>
  <c r="AE118" i="3"/>
  <c r="AE115" i="3"/>
  <c r="AE117" i="3"/>
  <c r="W127" i="3" a="1"/>
  <c r="W127" i="3" s="1"/>
  <c r="W128" i="3" s="1"/>
  <c r="AE116" i="3"/>
  <c r="AE114" i="3"/>
  <c r="S88" i="3"/>
  <c r="S89" i="3" s="1"/>
  <c r="T85" i="3" s="1"/>
  <c r="T86" i="3" s="1"/>
  <c r="Z122" i="3"/>
  <c r="Z13" i="3" s="1"/>
  <c r="Z123" i="3"/>
  <c r="X126" i="3"/>
  <c r="X120" i="3"/>
  <c r="X11" i="3" s="1"/>
  <c r="Z121" i="3"/>
  <c r="Z12" i="3" s="1"/>
  <c r="U44" i="3"/>
  <c r="X28" i="3"/>
  <c r="W17" i="3"/>
  <c r="V32" i="3"/>
  <c r="V69" i="3" s="1"/>
  <c r="Y25" i="3"/>
  <c r="Y26" i="3"/>
  <c r="Y124" i="3"/>
  <c r="X15" i="3"/>
  <c r="AC23" i="3"/>
  <c r="AF5" i="3"/>
  <c r="AC22" i="3"/>
  <c r="AB24" i="3"/>
  <c r="Y120" i="3"/>
  <c r="W32" i="3" l="1"/>
  <c r="W69" i="3" s="1"/>
  <c r="W39" i="3"/>
  <c r="W40" i="3"/>
  <c r="W41" i="3"/>
  <c r="W42" i="3"/>
  <c r="AF118" i="3"/>
  <c r="AF103" i="3"/>
  <c r="AF105" i="3"/>
  <c r="AF111" i="3" s="1"/>
  <c r="AF102" i="3"/>
  <c r="AF108" i="3" s="1"/>
  <c r="AF104" i="3"/>
  <c r="AF110" i="3" s="1"/>
  <c r="AF106" i="3"/>
  <c r="AF112" i="3" s="1"/>
  <c r="AF84" i="3"/>
  <c r="AF114" i="3"/>
  <c r="AF117" i="3"/>
  <c r="AF109" i="3"/>
  <c r="X127" i="3" a="1"/>
  <c r="X127" i="3" s="1"/>
  <c r="X128" i="3" s="1"/>
  <c r="AF116" i="3"/>
  <c r="AF115" i="3"/>
  <c r="T87" i="3"/>
  <c r="Z14" i="3"/>
  <c r="AA121" i="3"/>
  <c r="AA12" i="3" s="1"/>
  <c r="AA123" i="3"/>
  <c r="AA122" i="3"/>
  <c r="AA13" i="3" s="1"/>
  <c r="V44" i="3"/>
  <c r="X17" i="3"/>
  <c r="Y126" i="3"/>
  <c r="V61" i="3"/>
  <c r="Y28" i="3"/>
  <c r="Z26" i="3"/>
  <c r="Z124" i="3"/>
  <c r="Y15" i="3"/>
  <c r="Z25" i="3"/>
  <c r="W61" i="3"/>
  <c r="AD23" i="3"/>
  <c r="AD22" i="3"/>
  <c r="AG5" i="3"/>
  <c r="AG118" i="3" s="1"/>
  <c r="AC24" i="3"/>
  <c r="Z120" i="3"/>
  <c r="Y11" i="3"/>
  <c r="X32" i="3" l="1"/>
  <c r="X69" i="3" s="1"/>
  <c r="X39" i="3"/>
  <c r="X41" i="3"/>
  <c r="X40" i="3"/>
  <c r="X42" i="3"/>
  <c r="AG114" i="3"/>
  <c r="Y127" i="3" a="1"/>
  <c r="Y127" i="3" s="1"/>
  <c r="Y128" i="3" s="1"/>
  <c r="AG102" i="3"/>
  <c r="AG108" i="3" s="1"/>
  <c r="AG104" i="3"/>
  <c r="AG110" i="3" s="1"/>
  <c r="AG106" i="3"/>
  <c r="AG112" i="3" s="1"/>
  <c r="AG103" i="3"/>
  <c r="AG109" i="3" s="1"/>
  <c r="AG105" i="3"/>
  <c r="AG111" i="3" s="1"/>
  <c r="AG84" i="3"/>
  <c r="AG115" i="3"/>
  <c r="AG116" i="3"/>
  <c r="AG117" i="3"/>
  <c r="Z28" i="3"/>
  <c r="T88" i="3"/>
  <c r="T89" i="3" s="1"/>
  <c r="U85" i="3" s="1"/>
  <c r="U86" i="3" s="1"/>
  <c r="AA14" i="3"/>
  <c r="AB123" i="3"/>
  <c r="AB122" i="3"/>
  <c r="AB13" i="3" s="1"/>
  <c r="AB121" i="3"/>
  <c r="AB12" i="3" s="1"/>
  <c r="Z126" i="3"/>
  <c r="W44" i="3"/>
  <c r="Y17" i="3"/>
  <c r="AA25" i="3"/>
  <c r="AA26" i="3"/>
  <c r="AA124" i="3"/>
  <c r="Z15" i="3"/>
  <c r="X61" i="3"/>
  <c r="AE22" i="3"/>
  <c r="AE23" i="3"/>
  <c r="AH5" i="3"/>
  <c r="AD24" i="3"/>
  <c r="AA120" i="3"/>
  <c r="Z11" i="3"/>
  <c r="Y32" i="3" l="1"/>
  <c r="Y69" i="3" s="1"/>
  <c r="Y42" i="3"/>
  <c r="Y39" i="3"/>
  <c r="Y40" i="3"/>
  <c r="Y41" i="3"/>
  <c r="Z127" i="3" a="1"/>
  <c r="Z127" i="3" s="1"/>
  <c r="Z128" i="3" s="1"/>
  <c r="AH114" i="3"/>
  <c r="AH117" i="3"/>
  <c r="AH104" i="3"/>
  <c r="AH110" i="3" s="1"/>
  <c r="AH106" i="3"/>
  <c r="AH112" i="3" s="1"/>
  <c r="AH115" i="3"/>
  <c r="AH118" i="3"/>
  <c r="AH102" i="3"/>
  <c r="AH108" i="3" s="1"/>
  <c r="AH105" i="3"/>
  <c r="AH116" i="3"/>
  <c r="AH103" i="3"/>
  <c r="AH109" i="3" s="1"/>
  <c r="AH84" i="3"/>
  <c r="AH111" i="3"/>
  <c r="AB14" i="3"/>
  <c r="U87" i="3"/>
  <c r="AC121" i="3"/>
  <c r="AC12" i="3" s="1"/>
  <c r="AC123" i="3"/>
  <c r="AC122" i="3"/>
  <c r="AC13" i="3" s="1"/>
  <c r="Z17" i="3"/>
  <c r="X44" i="3"/>
  <c r="AA126" i="3"/>
  <c r="AB26" i="3"/>
  <c r="AB124" i="3"/>
  <c r="AA15" i="3"/>
  <c r="AA28" i="3"/>
  <c r="AB25" i="3"/>
  <c r="Y61" i="3"/>
  <c r="AE24" i="3"/>
  <c r="AI5" i="3"/>
  <c r="AF23" i="3"/>
  <c r="AF22" i="3"/>
  <c r="AB120" i="3"/>
  <c r="AA11" i="3"/>
  <c r="Z42" i="3" l="1"/>
  <c r="Z39" i="3"/>
  <c r="Z40" i="3"/>
  <c r="Z41" i="3"/>
  <c r="AA127" i="3" a="1"/>
  <c r="AA127" i="3" s="1"/>
  <c r="AA128" i="3" s="1"/>
  <c r="AI117" i="3"/>
  <c r="AI115" i="3"/>
  <c r="AI114" i="3"/>
  <c r="AI116" i="3"/>
  <c r="AI103" i="3"/>
  <c r="AI109" i="3" s="1"/>
  <c r="AI105" i="3"/>
  <c r="AI111" i="3" s="1"/>
  <c r="AI104" i="3"/>
  <c r="AI110" i="3" s="1"/>
  <c r="AI106" i="3"/>
  <c r="AI112" i="3" s="1"/>
  <c r="AI102" i="3"/>
  <c r="AI108" i="3" s="1"/>
  <c r="AI118" i="3"/>
  <c r="AI84" i="3"/>
  <c r="AC14" i="3"/>
  <c r="Y44" i="3"/>
  <c r="AB28" i="3"/>
  <c r="U88" i="3"/>
  <c r="U89" i="3" s="1"/>
  <c r="V85" i="3" s="1"/>
  <c r="V86" i="3" s="1"/>
  <c r="Z32" i="3"/>
  <c r="Z69" i="3" s="1"/>
  <c r="AD121" i="3"/>
  <c r="AD12" i="3" s="1"/>
  <c r="AD122" i="3"/>
  <c r="AD13" i="3" s="1"/>
  <c r="AD123" i="3"/>
  <c r="AB126" i="3"/>
  <c r="AC25" i="3"/>
  <c r="AC124" i="3"/>
  <c r="AB15" i="3"/>
  <c r="AC26" i="3"/>
  <c r="AA17" i="3"/>
  <c r="AG22" i="3"/>
  <c r="AG23" i="3"/>
  <c r="AF24" i="3"/>
  <c r="AJ5" i="3"/>
  <c r="AC120" i="3"/>
  <c r="AB11" i="3"/>
  <c r="AA39" i="3" l="1"/>
  <c r="AA40" i="3"/>
  <c r="AA41" i="3"/>
  <c r="AA42" i="3"/>
  <c r="AJ115" i="3"/>
  <c r="AB127" i="3" a="1"/>
  <c r="AB127" i="3" s="1"/>
  <c r="AB128" i="3" s="1"/>
  <c r="AJ117" i="3"/>
  <c r="AJ102" i="3"/>
  <c r="AJ108" i="3" s="1"/>
  <c r="AJ103" i="3"/>
  <c r="AJ109" i="3" s="1"/>
  <c r="AJ105" i="3"/>
  <c r="AJ111" i="3" s="1"/>
  <c r="AJ84" i="3"/>
  <c r="AJ106" i="3"/>
  <c r="AJ112" i="3" s="1"/>
  <c r="AJ104" i="3"/>
  <c r="AJ110" i="3" s="1"/>
  <c r="AJ116" i="3"/>
  <c r="AJ118" i="3"/>
  <c r="AJ114" i="3"/>
  <c r="AD14" i="3"/>
  <c r="Z44" i="3"/>
  <c r="Z61" i="3"/>
  <c r="V87" i="3"/>
  <c r="AE121" i="3"/>
  <c r="AE12" i="3" s="1"/>
  <c r="AE122" i="3"/>
  <c r="AE13" i="3" s="1"/>
  <c r="AE123" i="3"/>
  <c r="AC28" i="3"/>
  <c r="AC126" i="3"/>
  <c r="AA32" i="3"/>
  <c r="AA69" i="3" s="1"/>
  <c r="AD124" i="3"/>
  <c r="AC15" i="3"/>
  <c r="AD26" i="3"/>
  <c r="AB17" i="3"/>
  <c r="AD25" i="3"/>
  <c r="AH22" i="3"/>
  <c r="AH23" i="3"/>
  <c r="AG24" i="3"/>
  <c r="AI23" i="3"/>
  <c r="AK5" i="3"/>
  <c r="AD120" i="3"/>
  <c r="AC11" i="3"/>
  <c r="AB32" i="3" l="1"/>
  <c r="AB69" i="3" s="1"/>
  <c r="AB40" i="3"/>
  <c r="AB42" i="3"/>
  <c r="AB39" i="3"/>
  <c r="AB41" i="3"/>
  <c r="AC127" i="3" a="1"/>
  <c r="AC127" i="3" s="1"/>
  <c r="AC128" i="3" s="1"/>
  <c r="AK117" i="3"/>
  <c r="AK115" i="3"/>
  <c r="AK104" i="3"/>
  <c r="AK110" i="3" s="1"/>
  <c r="AK106" i="3"/>
  <c r="AK112" i="3" s="1"/>
  <c r="AK102" i="3"/>
  <c r="AK108" i="3" s="1"/>
  <c r="AK103" i="3"/>
  <c r="AK109" i="3" s="1"/>
  <c r="AK105" i="3"/>
  <c r="AK111" i="3" s="1"/>
  <c r="AK84" i="3"/>
  <c r="AK114" i="3"/>
  <c r="AK116" i="3"/>
  <c r="AK118" i="3"/>
  <c r="AD28" i="3"/>
  <c r="V88" i="3"/>
  <c r="V89" i="3" s="1"/>
  <c r="W85" i="3" s="1"/>
  <c r="W86" i="3" s="1"/>
  <c r="AE14" i="3"/>
  <c r="AF122" i="3"/>
  <c r="AF13" i="3" s="1"/>
  <c r="AF121" i="3"/>
  <c r="AF12" i="3" s="1"/>
  <c r="AF123" i="3"/>
  <c r="AA61" i="3"/>
  <c r="AA44" i="3"/>
  <c r="AC17" i="3"/>
  <c r="AD126" i="3"/>
  <c r="AE25" i="3"/>
  <c r="AE26" i="3"/>
  <c r="AE124" i="3"/>
  <c r="AD15" i="3"/>
  <c r="AB61" i="3"/>
  <c r="AI22" i="3"/>
  <c r="AH24" i="3"/>
  <c r="AJ23" i="3"/>
  <c r="AL5" i="3"/>
  <c r="AI25" i="3"/>
  <c r="AE120" i="3"/>
  <c r="AD11" i="3"/>
  <c r="AC32" i="3" l="1"/>
  <c r="AC69" i="3" s="1"/>
  <c r="AC39" i="3"/>
  <c r="AC40" i="3"/>
  <c r="AC41" i="3"/>
  <c r="AC42" i="3"/>
  <c r="AL117" i="3"/>
  <c r="AL104" i="3"/>
  <c r="AL110" i="3" s="1"/>
  <c r="AL106" i="3"/>
  <c r="AL112" i="3" s="1"/>
  <c r="AL102" i="3"/>
  <c r="AL108" i="3" s="1"/>
  <c r="AL105" i="3"/>
  <c r="AL111" i="3" s="1"/>
  <c r="AL84" i="3"/>
  <c r="AL103" i="3"/>
  <c r="AL109" i="3" s="1"/>
  <c r="AD127" i="3" a="1"/>
  <c r="AD127" i="3" s="1"/>
  <c r="AD128" i="3" s="1"/>
  <c r="AL118" i="3"/>
  <c r="AL114" i="3"/>
  <c r="AL116" i="3"/>
  <c r="AL115" i="3"/>
  <c r="W87" i="3"/>
  <c r="AF14" i="3"/>
  <c r="AG123" i="3"/>
  <c r="AG14" i="3" s="1"/>
  <c r="AG121" i="3"/>
  <c r="AG12" i="3" s="1"/>
  <c r="AG122" i="3"/>
  <c r="AG13" i="3" s="1"/>
  <c r="AB44" i="3"/>
  <c r="AD17" i="3"/>
  <c r="AE28" i="3"/>
  <c r="AF124" i="3"/>
  <c r="AE15" i="3"/>
  <c r="AF26" i="3"/>
  <c r="AF25" i="3"/>
  <c r="AE126" i="3"/>
  <c r="AC61" i="3"/>
  <c r="AJ22" i="3"/>
  <c r="AJ25" i="3"/>
  <c r="AM5" i="3"/>
  <c r="AI24" i="3"/>
  <c r="AF120" i="3"/>
  <c r="AE11" i="3"/>
  <c r="AD39" i="3" l="1"/>
  <c r="AD40" i="3"/>
  <c r="AD41" i="3"/>
  <c r="AD42" i="3"/>
  <c r="AM114" i="3"/>
  <c r="AM103" i="3"/>
  <c r="AM109" i="3" s="1"/>
  <c r="AM105" i="3"/>
  <c r="AM111" i="3" s="1"/>
  <c r="AM104" i="3"/>
  <c r="AM110" i="3" s="1"/>
  <c r="AM106" i="3"/>
  <c r="AM112" i="3" s="1"/>
  <c r="AM102" i="3"/>
  <c r="AM108" i="3" s="1"/>
  <c r="AM84" i="3"/>
  <c r="AM115" i="3"/>
  <c r="AM118" i="3"/>
  <c r="AE127" i="3" a="1"/>
  <c r="AE127" i="3" s="1"/>
  <c r="AE128" i="3" s="1"/>
  <c r="AM116" i="3"/>
  <c r="AM117" i="3"/>
  <c r="W88" i="3"/>
  <c r="W89" i="3" s="1"/>
  <c r="X85" i="3" s="1"/>
  <c r="AC44" i="3"/>
  <c r="AH123" i="3"/>
  <c r="AH122" i="3"/>
  <c r="AH13" i="3" s="1"/>
  <c r="AH121" i="3"/>
  <c r="AH12" i="3" s="1"/>
  <c r="AD32" i="3"/>
  <c r="AD69" i="3" s="1"/>
  <c r="AE17" i="3"/>
  <c r="AF126" i="3"/>
  <c r="AF28" i="3"/>
  <c r="AH25" i="3"/>
  <c r="AG25" i="3"/>
  <c r="AG26" i="3"/>
  <c r="AG124" i="3"/>
  <c r="AF15" i="3"/>
  <c r="AK25" i="3"/>
  <c r="AK22" i="3"/>
  <c r="AJ24" i="3"/>
  <c r="AK23" i="3"/>
  <c r="AN5" i="3"/>
  <c r="AF11" i="3"/>
  <c r="AE32" i="3" l="1"/>
  <c r="AE69" i="3" s="1"/>
  <c r="AE39" i="3"/>
  <c r="AE40" i="3"/>
  <c r="AE41" i="3"/>
  <c r="AE42" i="3"/>
  <c r="AN115" i="3"/>
  <c r="AF127" i="3" a="1"/>
  <c r="AF127" i="3" s="1"/>
  <c r="AF128" i="3" s="1"/>
  <c r="AN117" i="3"/>
  <c r="AN102" i="3"/>
  <c r="AN108" i="3" s="1"/>
  <c r="AN103" i="3"/>
  <c r="AN109" i="3" s="1"/>
  <c r="AN105" i="3"/>
  <c r="AN111" i="3" s="1"/>
  <c r="AN104" i="3"/>
  <c r="AN110" i="3" s="1"/>
  <c r="AN106" i="3"/>
  <c r="AN112" i="3" s="1"/>
  <c r="AN84" i="3"/>
  <c r="AN116" i="3"/>
  <c r="AN118" i="3"/>
  <c r="AN114" i="3"/>
  <c r="AD44" i="3"/>
  <c r="X87" i="3"/>
  <c r="X86" i="3"/>
  <c r="AD61" i="3"/>
  <c r="AI121" i="3"/>
  <c r="AI12" i="3" s="1"/>
  <c r="AI123" i="3"/>
  <c r="AI14" i="3" s="1"/>
  <c r="AG126" i="3"/>
  <c r="AG120" i="3"/>
  <c r="AG11" i="3" s="1"/>
  <c r="AH14" i="3"/>
  <c r="AI122" i="3"/>
  <c r="AI13" i="3" s="1"/>
  <c r="AG28" i="3"/>
  <c r="AF17" i="3"/>
  <c r="AH124" i="3"/>
  <c r="AG15" i="3"/>
  <c r="AH26" i="3"/>
  <c r="AH28" i="3" s="1"/>
  <c r="AE61" i="3"/>
  <c r="AL23" i="3"/>
  <c r="AL22" i="3"/>
  <c r="AL25" i="3"/>
  <c r="AO5" i="3"/>
  <c r="AK24" i="3"/>
  <c r="AH120" i="3"/>
  <c r="AO115" i="3" l="1"/>
  <c r="AF39" i="3"/>
  <c r="AF41" i="3"/>
  <c r="AF40" i="3"/>
  <c r="AF42" i="3"/>
  <c r="AG127" i="3" a="1"/>
  <c r="AG127" i="3" s="1"/>
  <c r="AG128" i="3" s="1"/>
  <c r="AO116" i="3"/>
  <c r="AO114" i="3"/>
  <c r="AO104" i="3"/>
  <c r="AO110" i="3" s="1"/>
  <c r="AO106" i="3"/>
  <c r="AO112" i="3" s="1"/>
  <c r="AO102" i="3"/>
  <c r="AO108" i="3" s="1"/>
  <c r="AO103" i="3"/>
  <c r="AO109" i="3" s="1"/>
  <c r="AO105" i="3"/>
  <c r="AO111" i="3" s="1"/>
  <c r="AO84" i="3"/>
  <c r="X88" i="3"/>
  <c r="X89" i="3" s="1"/>
  <c r="Y85" i="3" s="1"/>
  <c r="Y87" i="3" s="1"/>
  <c r="AO118" i="3"/>
  <c r="AO117" i="3"/>
  <c r="AJ123" i="3"/>
  <c r="AJ14" i="3" s="1"/>
  <c r="AJ122" i="3"/>
  <c r="AJ13" i="3" s="1"/>
  <c r="AJ121" i="3"/>
  <c r="AJ12" i="3" s="1"/>
  <c r="AE44" i="3"/>
  <c r="AG17" i="3"/>
  <c r="AH126" i="3"/>
  <c r="AF32" i="3"/>
  <c r="AI26" i="3"/>
  <c r="AI28" i="3" s="1"/>
  <c r="AI124" i="3"/>
  <c r="AH15" i="3"/>
  <c r="AM23" i="3"/>
  <c r="AM25" i="3"/>
  <c r="AP5" i="3"/>
  <c r="AM22" i="3"/>
  <c r="AL24" i="3"/>
  <c r="AI120" i="3"/>
  <c r="AH11" i="3"/>
  <c r="Y86" i="3" l="1"/>
  <c r="AF61" i="3"/>
  <c r="AF69" i="3"/>
  <c r="AG40" i="3"/>
  <c r="AG42" i="3"/>
  <c r="AG41" i="3"/>
  <c r="AG39" i="3"/>
  <c r="AP118" i="3"/>
  <c r="Y88" i="3"/>
  <c r="Y89" i="3" s="1"/>
  <c r="Z85" i="3" s="1"/>
  <c r="Z86" i="3" s="1"/>
  <c r="AH127" i="3" a="1"/>
  <c r="AH127" i="3" s="1"/>
  <c r="AH128" i="3" s="1"/>
  <c r="AP114" i="3"/>
  <c r="AP104" i="3"/>
  <c r="AP110" i="3" s="1"/>
  <c r="AP106" i="3"/>
  <c r="AP112" i="3" s="1"/>
  <c r="AP102" i="3"/>
  <c r="AP108" i="3" s="1"/>
  <c r="AP84" i="3"/>
  <c r="AP105" i="3"/>
  <c r="AP111" i="3" s="1"/>
  <c r="AP103" i="3"/>
  <c r="AP109" i="3" s="1"/>
  <c r="AP117" i="3"/>
  <c r="AP116" i="3"/>
  <c r="AP115" i="3"/>
  <c r="Z87" i="3"/>
  <c r="AG32" i="3"/>
  <c r="AG69" i="3" s="1"/>
  <c r="AK121" i="3"/>
  <c r="AK12" i="3" s="1"/>
  <c r="AK123" i="3"/>
  <c r="AK14" i="3" s="1"/>
  <c r="AK122" i="3"/>
  <c r="AK13" i="3" s="1"/>
  <c r="AF44" i="3"/>
  <c r="AH17" i="3"/>
  <c r="AJ124" i="3"/>
  <c r="AI15" i="3"/>
  <c r="AJ26" i="3"/>
  <c r="AJ28" i="3" s="1"/>
  <c r="AI126" i="3"/>
  <c r="AN25" i="3"/>
  <c r="AN22" i="3"/>
  <c r="AN23" i="3"/>
  <c r="AM24" i="3"/>
  <c r="AQ5" i="3"/>
  <c r="AJ120" i="3"/>
  <c r="AI11" i="3"/>
  <c r="AH42" i="3" l="1"/>
  <c r="AH39" i="3"/>
  <c r="AH40" i="3"/>
  <c r="AH41" i="3"/>
  <c r="Z88" i="3"/>
  <c r="Z89" i="3" s="1"/>
  <c r="AA85" i="3" s="1"/>
  <c r="AA87" i="3" s="1"/>
  <c r="AQ117" i="3"/>
  <c r="AQ114" i="3"/>
  <c r="AI127" i="3" a="1"/>
  <c r="AI127" i="3" s="1"/>
  <c r="AI128" i="3" s="1"/>
  <c r="AQ103" i="3"/>
  <c r="AQ109" i="3" s="1"/>
  <c r="AQ105" i="3"/>
  <c r="AQ111" i="3" s="1"/>
  <c r="AQ104" i="3"/>
  <c r="AQ110" i="3" s="1"/>
  <c r="AQ106" i="3"/>
  <c r="AQ112" i="3" s="1"/>
  <c r="AQ102" i="3"/>
  <c r="AQ108" i="3" s="1"/>
  <c r="AQ84" i="3"/>
  <c r="AQ115" i="3"/>
  <c r="AQ116" i="3"/>
  <c r="AQ118" i="3"/>
  <c r="AG61" i="3"/>
  <c r="AG44" i="3"/>
  <c r="AL123" i="3"/>
  <c r="AL14" i="3" s="1"/>
  <c r="AL121" i="3"/>
  <c r="AL12" i="3" s="1"/>
  <c r="AL122" i="3"/>
  <c r="AL13" i="3" s="1"/>
  <c r="AI17" i="3"/>
  <c r="AJ126" i="3"/>
  <c r="AH32" i="3"/>
  <c r="AH69" i="3" s="1"/>
  <c r="AK26" i="3"/>
  <c r="AK28" i="3" s="1"/>
  <c r="AK124" i="3"/>
  <c r="AJ15" i="3"/>
  <c r="AO22" i="3"/>
  <c r="AO25" i="3"/>
  <c r="AR5" i="3"/>
  <c r="AN24" i="3"/>
  <c r="AO23" i="3"/>
  <c r="AO26" i="3"/>
  <c r="AJ11" i="3"/>
  <c r="AI32" i="3" l="1"/>
  <c r="AI69" i="3" s="1"/>
  <c r="AI39" i="3"/>
  <c r="AI40" i="3"/>
  <c r="AI41" i="3"/>
  <c r="AI42" i="3"/>
  <c r="AA86" i="3"/>
  <c r="AA88" i="3" s="1"/>
  <c r="AA89" i="3" s="1"/>
  <c r="AB85" i="3" s="1"/>
  <c r="AB86" i="3" s="1"/>
  <c r="AR115" i="3"/>
  <c r="AR117" i="3"/>
  <c r="AJ127" i="3" a="1"/>
  <c r="AJ127" i="3" s="1"/>
  <c r="AJ128" i="3" s="1"/>
  <c r="AR102" i="3"/>
  <c r="AR108" i="3" s="1"/>
  <c r="AR103" i="3"/>
  <c r="AR109" i="3" s="1"/>
  <c r="AR105" i="3"/>
  <c r="AR111" i="3" s="1"/>
  <c r="AR106" i="3"/>
  <c r="AR112" i="3" s="1"/>
  <c r="AR104" i="3"/>
  <c r="AR110" i="3" s="1"/>
  <c r="AR84" i="3"/>
  <c r="AR118" i="3"/>
  <c r="AR116" i="3"/>
  <c r="AR114" i="3"/>
  <c r="AM122" i="3"/>
  <c r="AM13" i="3" s="1"/>
  <c r="AM121" i="3"/>
  <c r="AM12" i="3" s="1"/>
  <c r="AK126" i="3"/>
  <c r="AK120" i="3"/>
  <c r="AK11" i="3" s="1"/>
  <c r="AM123" i="3"/>
  <c r="AM14" i="3" s="1"/>
  <c r="AH61" i="3"/>
  <c r="AH44" i="3"/>
  <c r="AJ17" i="3"/>
  <c r="AL26" i="3"/>
  <c r="AL28" i="3" s="1"/>
  <c r="AL124" i="3"/>
  <c r="AK15" i="3"/>
  <c r="AI61" i="3"/>
  <c r="AP26" i="3"/>
  <c r="AP22" i="3"/>
  <c r="AP25" i="3"/>
  <c r="AP23" i="3"/>
  <c r="AO24" i="3"/>
  <c r="AO28" i="3" s="1"/>
  <c r="AS5" i="3"/>
  <c r="AL120" i="3"/>
  <c r="AS115" i="3" l="1"/>
  <c r="AJ32" i="3"/>
  <c r="AJ69" i="3" s="1"/>
  <c r="AJ39" i="3"/>
  <c r="AJ40" i="3"/>
  <c r="AJ42" i="3"/>
  <c r="AJ41" i="3"/>
  <c r="AB87" i="3"/>
  <c r="AB88" i="3" s="1"/>
  <c r="AB89" i="3" s="1"/>
  <c r="AC85" i="3" s="1"/>
  <c r="AC86" i="3" s="1"/>
  <c r="AK127" i="3" a="1"/>
  <c r="AK127" i="3" s="1"/>
  <c r="AK128" i="3" s="1"/>
  <c r="AS114" i="3"/>
  <c r="AS118" i="3"/>
  <c r="AS116" i="3"/>
  <c r="AS104" i="3"/>
  <c r="AS110" i="3" s="1"/>
  <c r="AS106" i="3"/>
  <c r="AS112" i="3" s="1"/>
  <c r="AS102" i="3"/>
  <c r="AS108" i="3" s="1"/>
  <c r="AS103" i="3"/>
  <c r="AS109" i="3" s="1"/>
  <c r="AS105" i="3"/>
  <c r="AS111" i="3" s="1"/>
  <c r="AS84" i="3"/>
  <c r="AS117" i="3"/>
  <c r="AK17" i="3"/>
  <c r="AK32" i="3" s="1"/>
  <c r="AK69" i="3" s="1"/>
  <c r="AI44" i="3"/>
  <c r="AN121" i="3"/>
  <c r="AN12" i="3" s="1"/>
  <c r="AN122" i="3"/>
  <c r="AN13" i="3" s="1"/>
  <c r="AN123" i="3"/>
  <c r="AN14" i="3" s="1"/>
  <c r="AL126" i="3"/>
  <c r="AM124" i="3"/>
  <c r="AL15" i="3"/>
  <c r="AM26" i="3"/>
  <c r="AM28" i="3" s="1"/>
  <c r="AN26" i="3"/>
  <c r="AN28" i="3" s="1"/>
  <c r="AJ61" i="3"/>
  <c r="AQ26" i="3"/>
  <c r="AQ25" i="3"/>
  <c r="AQ22" i="3"/>
  <c r="AT5" i="3"/>
  <c r="AQ23" i="3"/>
  <c r="AP24" i="3"/>
  <c r="AP28" i="3" s="1"/>
  <c r="AM120" i="3"/>
  <c r="AL11" i="3"/>
  <c r="AC87" i="3" l="1"/>
  <c r="AC88" i="3" s="1"/>
  <c r="AC89" i="3" s="1"/>
  <c r="AD85" i="3" s="1"/>
  <c r="AK40" i="3"/>
  <c r="AK41" i="3"/>
  <c r="AK39" i="3"/>
  <c r="AK42" i="3"/>
  <c r="AL17" i="3"/>
  <c r="AL32" i="3" s="1"/>
  <c r="AL69" i="3" s="1"/>
  <c r="AL127" i="3" a="1"/>
  <c r="AL127" i="3" s="1"/>
  <c r="AL128" i="3" s="1"/>
  <c r="AT116" i="3"/>
  <c r="AT117" i="3"/>
  <c r="AT118" i="3"/>
  <c r="AT104" i="3"/>
  <c r="AT110" i="3" s="1"/>
  <c r="AT106" i="3"/>
  <c r="AT112" i="3" s="1"/>
  <c r="AT102" i="3"/>
  <c r="AT108" i="3" s="1"/>
  <c r="AT103" i="3"/>
  <c r="AT109" i="3" s="1"/>
  <c r="AT84" i="3"/>
  <c r="AT105" i="3"/>
  <c r="AT111" i="3" s="1"/>
  <c r="AT114" i="3"/>
  <c r="AT115" i="3"/>
  <c r="AD87" i="3"/>
  <c r="AD86" i="3"/>
  <c r="AJ44" i="3"/>
  <c r="AO122" i="3"/>
  <c r="AO13" i="3" s="1"/>
  <c r="AO123" i="3"/>
  <c r="AO14" i="3" s="1"/>
  <c r="AO121" i="3"/>
  <c r="AO12" i="3" s="1"/>
  <c r="AM126" i="3"/>
  <c r="AN124" i="3"/>
  <c r="AM15" i="3"/>
  <c r="AK61" i="3"/>
  <c r="AR25" i="3"/>
  <c r="AR26" i="3"/>
  <c r="AR23" i="3"/>
  <c r="AR22" i="3"/>
  <c r="AU5" i="3"/>
  <c r="AQ24" i="3"/>
  <c r="AQ28" i="3" s="1"/>
  <c r="AN120" i="3"/>
  <c r="AM11" i="3"/>
  <c r="AK44" i="3" l="1"/>
  <c r="AL39" i="3"/>
  <c r="AL40" i="3"/>
  <c r="AL41" i="3"/>
  <c r="AL42" i="3"/>
  <c r="AD88" i="3"/>
  <c r="AD89" i="3" s="1"/>
  <c r="AE85" i="3" s="1"/>
  <c r="AE86" i="3" s="1"/>
  <c r="AU116" i="3"/>
  <c r="AU115" i="3"/>
  <c r="AU118" i="3"/>
  <c r="AM127" i="3" a="1"/>
  <c r="AM127" i="3" s="1"/>
  <c r="AM128" i="3" s="1"/>
  <c r="AU103" i="3"/>
  <c r="AU109" i="3" s="1"/>
  <c r="AU105" i="3"/>
  <c r="AU111" i="3" s="1"/>
  <c r="AU104" i="3"/>
  <c r="AU110" i="3" s="1"/>
  <c r="AU106" i="3"/>
  <c r="AU112" i="3" s="1"/>
  <c r="AU84" i="3"/>
  <c r="AU102" i="3"/>
  <c r="AU108" i="3" s="1"/>
  <c r="AU114" i="3"/>
  <c r="AU117" i="3"/>
  <c r="AE87" i="3"/>
  <c r="AM17" i="3"/>
  <c r="AP123" i="3"/>
  <c r="AP14" i="3" s="1"/>
  <c r="AP121" i="3"/>
  <c r="AP12" i="3" s="1"/>
  <c r="AP122" i="3"/>
  <c r="AP13" i="3" s="1"/>
  <c r="AN126" i="3"/>
  <c r="AO124" i="3"/>
  <c r="AN15" i="3"/>
  <c r="AL61" i="3"/>
  <c r="AS25" i="3"/>
  <c r="AS26" i="3"/>
  <c r="AS23" i="3"/>
  <c r="AR24" i="3"/>
  <c r="AR28" i="3" s="1"/>
  <c r="AS22" i="3"/>
  <c r="AV5" i="3"/>
  <c r="AN11" i="3"/>
  <c r="AL44" i="3" l="1"/>
  <c r="AM32" i="3"/>
  <c r="AM69" i="3" s="1"/>
  <c r="AM39" i="3"/>
  <c r="AM40" i="3"/>
  <c r="AM41" i="3"/>
  <c r="AM42" i="3"/>
  <c r="AV118" i="3"/>
  <c r="AV102" i="3"/>
  <c r="AV108" i="3" s="1"/>
  <c r="AV103" i="3"/>
  <c r="AV109" i="3" s="1"/>
  <c r="AV105" i="3"/>
  <c r="AV111" i="3" s="1"/>
  <c r="AV84" i="3"/>
  <c r="AV106" i="3"/>
  <c r="AV112" i="3" s="1"/>
  <c r="AV104" i="3"/>
  <c r="AV110" i="3" s="1"/>
  <c r="AV117" i="3"/>
  <c r="AN127" i="3" a="1"/>
  <c r="AN127" i="3" s="1"/>
  <c r="AN128" i="3" s="1"/>
  <c r="AV114" i="3"/>
  <c r="AV116" i="3"/>
  <c r="AV115" i="3"/>
  <c r="AN17" i="3"/>
  <c r="AE88" i="3"/>
  <c r="AE89" i="3" s="1"/>
  <c r="AF85" i="3" s="1"/>
  <c r="AF86" i="3" s="1"/>
  <c r="AO126" i="3"/>
  <c r="AO120" i="3"/>
  <c r="AO11" i="3" s="1"/>
  <c r="AQ121" i="3"/>
  <c r="AQ12" i="3" s="1"/>
  <c r="AQ122" i="3"/>
  <c r="AQ13" i="3" s="1"/>
  <c r="AQ123" i="3"/>
  <c r="AQ14" i="3" s="1"/>
  <c r="AP124" i="3"/>
  <c r="AO15" i="3"/>
  <c r="AM61" i="3"/>
  <c r="AT26" i="3"/>
  <c r="AT22" i="3"/>
  <c r="AT23" i="3"/>
  <c r="AT25" i="3"/>
  <c r="AS24" i="3"/>
  <c r="AS28" i="3" s="1"/>
  <c r="AW5" i="3"/>
  <c r="AP120" i="3"/>
  <c r="AN39" i="3" l="1"/>
  <c r="AN41" i="3"/>
  <c r="AN40" i="3"/>
  <c r="AN42" i="3"/>
  <c r="AN32" i="3"/>
  <c r="AN69" i="3" s="1"/>
  <c r="AW114" i="3"/>
  <c r="AW104" i="3"/>
  <c r="AW110" i="3" s="1"/>
  <c r="AW106" i="3"/>
  <c r="AW112" i="3" s="1"/>
  <c r="AW102" i="3"/>
  <c r="AW108" i="3" s="1"/>
  <c r="AW103" i="3"/>
  <c r="AW109" i="3" s="1"/>
  <c r="AW105" i="3"/>
  <c r="AW111" i="3" s="1"/>
  <c r="AW84" i="3"/>
  <c r="AO127" i="3" a="1"/>
  <c r="AO127" i="3" s="1"/>
  <c r="AO128" i="3" s="1"/>
  <c r="AW115" i="3"/>
  <c r="AW118" i="3"/>
  <c r="AW116" i="3"/>
  <c r="AW117" i="3"/>
  <c r="AM44" i="3"/>
  <c r="AF87" i="3"/>
  <c r="AF88" i="3" s="1"/>
  <c r="AF89" i="3" s="1"/>
  <c r="AG85" i="3" s="1"/>
  <c r="AG86" i="3" s="1"/>
  <c r="AR122" i="3"/>
  <c r="AR13" i="3" s="1"/>
  <c r="AR121" i="3"/>
  <c r="AR12" i="3" s="1"/>
  <c r="AR123" i="3"/>
  <c r="AR14" i="3" s="1"/>
  <c r="AO17" i="3"/>
  <c r="AP126" i="3"/>
  <c r="AQ124" i="3"/>
  <c r="AP15" i="3"/>
  <c r="AN61" i="3"/>
  <c r="AU25" i="3"/>
  <c r="AU23" i="3"/>
  <c r="AU26" i="3"/>
  <c r="AU22" i="3"/>
  <c r="AT24" i="3"/>
  <c r="AT28" i="3" s="1"/>
  <c r="AX5" i="3"/>
  <c r="AP11" i="3"/>
  <c r="AN44" i="3" l="1"/>
  <c r="AO39" i="3"/>
  <c r="AO40" i="3"/>
  <c r="AO41" i="3"/>
  <c r="AO42" i="3"/>
  <c r="AX118" i="3"/>
  <c r="AX114" i="3"/>
  <c r="AP127" i="3" a="1"/>
  <c r="AP127" i="3" s="1"/>
  <c r="AP128" i="3" s="1"/>
  <c r="AX104" i="3"/>
  <c r="AX110" i="3" s="1"/>
  <c r="AX106" i="3"/>
  <c r="AX112" i="3" s="1"/>
  <c r="AX102" i="3"/>
  <c r="AX108" i="3" s="1"/>
  <c r="AX105" i="3"/>
  <c r="AX111" i="3" s="1"/>
  <c r="AX103" i="3"/>
  <c r="AX109" i="3" s="1"/>
  <c r="AX84" i="3"/>
  <c r="AG87" i="3"/>
  <c r="AG88" i="3" s="1"/>
  <c r="AG89" i="3" s="1"/>
  <c r="AH85" i="3" s="1"/>
  <c r="AH86" i="3" s="1"/>
  <c r="AX117" i="3"/>
  <c r="AX115" i="3"/>
  <c r="AX116" i="3"/>
  <c r="AO32" i="3"/>
  <c r="AP17" i="3"/>
  <c r="AS121" i="3"/>
  <c r="AS12" i="3" s="1"/>
  <c r="AQ126" i="3"/>
  <c r="AQ120" i="3"/>
  <c r="AQ11" i="3" s="1"/>
  <c r="AS123" i="3"/>
  <c r="AS14" i="3" s="1"/>
  <c r="AS122" i="3"/>
  <c r="AS13" i="3" s="1"/>
  <c r="AR124" i="3"/>
  <c r="AQ15" i="3"/>
  <c r="AV26" i="3"/>
  <c r="AV25" i="3"/>
  <c r="AV22" i="3"/>
  <c r="AV23" i="3"/>
  <c r="AU24" i="3"/>
  <c r="AU28" i="3" s="1"/>
  <c r="AY5" i="3"/>
  <c r="AO61" i="3" l="1"/>
  <c r="AO69" i="3"/>
  <c r="AQ127" i="3" a="1"/>
  <c r="AQ127" i="3" s="1"/>
  <c r="AQ128" i="3" s="1"/>
  <c r="AP39" i="3"/>
  <c r="AP42" i="3"/>
  <c r="AP40" i="3"/>
  <c r="AP41" i="3"/>
  <c r="AO44" i="3"/>
  <c r="AY116" i="3"/>
  <c r="AY114" i="3"/>
  <c r="AY115" i="3"/>
  <c r="AY118" i="3"/>
  <c r="AY103" i="3"/>
  <c r="AY109" i="3" s="1"/>
  <c r="AY105" i="3"/>
  <c r="AY111" i="3" s="1"/>
  <c r="AY104" i="3"/>
  <c r="AY110" i="3" s="1"/>
  <c r="AY106" i="3"/>
  <c r="AY112" i="3" s="1"/>
  <c r="AY102" i="3"/>
  <c r="AY108" i="3" s="1"/>
  <c r="AY84" i="3"/>
  <c r="AH87" i="3"/>
  <c r="AH88" i="3" s="1"/>
  <c r="AH89" i="3" s="1"/>
  <c r="AI85" i="3" s="1"/>
  <c r="AY117" i="3"/>
  <c r="AP32" i="3"/>
  <c r="AT121" i="3"/>
  <c r="AT12" i="3" s="1"/>
  <c r="AT123" i="3"/>
  <c r="AT14" i="3" s="1"/>
  <c r="AR126" i="3"/>
  <c r="AR120" i="3"/>
  <c r="AR11" i="3" s="1"/>
  <c r="AT122" i="3"/>
  <c r="AT13" i="3" s="1"/>
  <c r="AQ17" i="3"/>
  <c r="AS124" i="3"/>
  <c r="AR15" i="3"/>
  <c r="AW22" i="3"/>
  <c r="AW26" i="3"/>
  <c r="AW23" i="3"/>
  <c r="AZ5" i="3"/>
  <c r="AW25" i="3"/>
  <c r="AV24" i="3"/>
  <c r="AV28" i="3" s="1"/>
  <c r="AS120" i="3"/>
  <c r="AI86" i="3" l="1"/>
  <c r="AI87" i="3"/>
  <c r="AP61" i="3"/>
  <c r="AP69" i="3"/>
  <c r="AQ39" i="3"/>
  <c r="AQ40" i="3"/>
  <c r="AQ41" i="3"/>
  <c r="AQ42" i="3"/>
  <c r="AZ117" i="3"/>
  <c r="AZ114" i="3"/>
  <c r="AZ102" i="3"/>
  <c r="AZ108" i="3" s="1"/>
  <c r="AZ103" i="3"/>
  <c r="AZ109" i="3" s="1"/>
  <c r="AZ105" i="3"/>
  <c r="AZ111" i="3" s="1"/>
  <c r="AZ84" i="3"/>
  <c r="AZ106" i="3"/>
  <c r="AZ112" i="3" s="1"/>
  <c r="AZ104" i="3"/>
  <c r="AZ110" i="3" s="1"/>
  <c r="AZ118" i="3"/>
  <c r="AZ116" i="3"/>
  <c r="AR127" i="3" a="1"/>
  <c r="AR127" i="3" s="1"/>
  <c r="AR128" i="3" s="1"/>
  <c r="AZ115" i="3"/>
  <c r="AP44" i="3"/>
  <c r="AR17" i="3"/>
  <c r="AI88" i="3"/>
  <c r="AI89" i="3" s="1"/>
  <c r="AJ85" i="3" s="1"/>
  <c r="AU121" i="3"/>
  <c r="AU12" i="3" s="1"/>
  <c r="AU122" i="3"/>
  <c r="AU13" i="3" s="1"/>
  <c r="AU123" i="3"/>
  <c r="AU14" i="3" s="1"/>
  <c r="AS126" i="3"/>
  <c r="AQ32" i="3"/>
  <c r="AT124" i="3"/>
  <c r="AS15" i="3"/>
  <c r="AX26" i="3"/>
  <c r="AX23" i="3"/>
  <c r="AX22" i="3"/>
  <c r="AX25" i="3"/>
  <c r="AW24" i="3"/>
  <c r="AW28" i="3" s="1"/>
  <c r="BA5" i="3"/>
  <c r="AT120" i="3"/>
  <c r="AS11" i="3"/>
  <c r="AR40" i="3" l="1"/>
  <c r="AR42" i="3"/>
  <c r="AR39" i="3"/>
  <c r="AR41" i="3"/>
  <c r="AQ61" i="3"/>
  <c r="AQ69" i="3"/>
  <c r="AR32" i="3"/>
  <c r="AR69" i="3" s="1"/>
  <c r="AS127" i="3" a="1"/>
  <c r="AS127" i="3" s="1"/>
  <c r="AS128" i="3" s="1"/>
  <c r="BA116" i="3"/>
  <c r="BA104" i="3"/>
  <c r="BA110" i="3" s="1"/>
  <c r="BA106" i="3"/>
  <c r="BA112" i="3" s="1"/>
  <c r="BA102" i="3"/>
  <c r="BA114" i="3"/>
  <c r="BA117" i="3"/>
  <c r="BA103" i="3"/>
  <c r="BA109" i="3" s="1"/>
  <c r="BA105" i="3"/>
  <c r="BA111" i="3" s="1"/>
  <c r="BA118" i="3"/>
  <c r="BA84" i="3"/>
  <c r="BA115" i="3"/>
  <c r="BA108" i="3"/>
  <c r="AJ87" i="3"/>
  <c r="AJ86" i="3"/>
  <c r="AV121" i="3"/>
  <c r="AV12" i="3" s="1"/>
  <c r="AV123" i="3"/>
  <c r="AV14" i="3" s="1"/>
  <c r="AV122" i="3"/>
  <c r="AV13" i="3" s="1"/>
  <c r="AQ44" i="3"/>
  <c r="AS17" i="3"/>
  <c r="AT126" i="3"/>
  <c r="AU124" i="3"/>
  <c r="AT15" i="3"/>
  <c r="AR61" i="3"/>
  <c r="AY26" i="3"/>
  <c r="AY22" i="3"/>
  <c r="AY23" i="3"/>
  <c r="AY25" i="3"/>
  <c r="BB5" i="3"/>
  <c r="AX24" i="3"/>
  <c r="AX28" i="3" s="1"/>
  <c r="AU120" i="3"/>
  <c r="AT11" i="3"/>
  <c r="AR44" i="3" l="1"/>
  <c r="AS39" i="3"/>
  <c r="AS40" i="3"/>
  <c r="AS41" i="3"/>
  <c r="AS42" i="3"/>
  <c r="AJ88" i="3"/>
  <c r="AJ89" i="3" s="1"/>
  <c r="AK85" i="3" s="1"/>
  <c r="AK86" i="3" s="1"/>
  <c r="BB118" i="3"/>
  <c r="BB116" i="3"/>
  <c r="BB102" i="3"/>
  <c r="BB108" i="3" s="1"/>
  <c r="BB104" i="3"/>
  <c r="BB110" i="3" s="1"/>
  <c r="BB106" i="3"/>
  <c r="BB112" i="3" s="1"/>
  <c r="BB105" i="3"/>
  <c r="BB111" i="3" s="1"/>
  <c r="BB84" i="3"/>
  <c r="BB103" i="3"/>
  <c r="BB109" i="3" s="1"/>
  <c r="BB115" i="3"/>
  <c r="BB114" i="3"/>
  <c r="AT127" i="3" a="1"/>
  <c r="AT127" i="3" s="1"/>
  <c r="AT128" i="3" s="1"/>
  <c r="BB117" i="3"/>
  <c r="AT17" i="3"/>
  <c r="AS32" i="3"/>
  <c r="AW123" i="3"/>
  <c r="AW14" i="3" s="1"/>
  <c r="AW122" i="3"/>
  <c r="AW13" i="3" s="1"/>
  <c r="AW121" i="3"/>
  <c r="AW12" i="3" s="1"/>
  <c r="AU126" i="3"/>
  <c r="AV124" i="3"/>
  <c r="AU15" i="3"/>
  <c r="AZ25" i="3"/>
  <c r="AZ22" i="3"/>
  <c r="AZ26" i="3"/>
  <c r="AZ23" i="3"/>
  <c r="BC5" i="3"/>
  <c r="AY24" i="3"/>
  <c r="AY28" i="3" s="1"/>
  <c r="AV120" i="3"/>
  <c r="AU11" i="3"/>
  <c r="AK87" i="3" l="1"/>
  <c r="AK88" i="3" s="1"/>
  <c r="AK89" i="3" s="1"/>
  <c r="AL85" i="3" s="1"/>
  <c r="AL86" i="3" s="1"/>
  <c r="AT32" i="3"/>
  <c r="AT69" i="3" s="1"/>
  <c r="AT40" i="3"/>
  <c r="AT41" i="3"/>
  <c r="AT39" i="3"/>
  <c r="AT42" i="3"/>
  <c r="AS61" i="3"/>
  <c r="AS69" i="3"/>
  <c r="BC118" i="3"/>
  <c r="BC103" i="3"/>
  <c r="BC109" i="3" s="1"/>
  <c r="BC105" i="3"/>
  <c r="BC111" i="3" s="1"/>
  <c r="BC102" i="3"/>
  <c r="BC108" i="3" s="1"/>
  <c r="BC104" i="3"/>
  <c r="BC110" i="3" s="1"/>
  <c r="BC106" i="3"/>
  <c r="BC112" i="3" s="1"/>
  <c r="BC84" i="3"/>
  <c r="I84" i="3" s="1"/>
  <c r="AU127" i="3" a="1"/>
  <c r="AU127" i="3" s="1"/>
  <c r="AU128" i="3" s="1"/>
  <c r="AL87" i="3"/>
  <c r="AL88" i="3" s="1"/>
  <c r="AL89" i="3" s="1"/>
  <c r="AM85" i="3" s="1"/>
  <c r="AM86" i="3" s="1"/>
  <c r="BC117" i="3"/>
  <c r="BC114" i="3"/>
  <c r="BC115" i="3"/>
  <c r="BC116" i="3"/>
  <c r="AU17" i="3"/>
  <c r="AS44" i="3"/>
  <c r="AX122" i="3"/>
  <c r="AX13" i="3" s="1"/>
  <c r="AX123" i="3"/>
  <c r="AX14" i="3" s="1"/>
  <c r="AX121" i="3"/>
  <c r="AX12" i="3" s="1"/>
  <c r="AV126" i="3"/>
  <c r="AW124" i="3"/>
  <c r="AV15" i="3"/>
  <c r="I49" i="3"/>
  <c r="BA26" i="3"/>
  <c r="BA25" i="3"/>
  <c r="BA22" i="3"/>
  <c r="AZ24" i="3"/>
  <c r="AZ28" i="3" s="1"/>
  <c r="BA23" i="3"/>
  <c r="AV11" i="3"/>
  <c r="AT61" i="3" l="1"/>
  <c r="AV127" i="3" a="1"/>
  <c r="AV127" i="3" s="1"/>
  <c r="AU32" i="3"/>
  <c r="AU69" i="3" s="1"/>
  <c r="AU39" i="3"/>
  <c r="AU40" i="3"/>
  <c r="AU41" i="3"/>
  <c r="AU42" i="3"/>
  <c r="AT44" i="3"/>
  <c r="AM87" i="3"/>
  <c r="AV128" i="3"/>
  <c r="AV17" i="3"/>
  <c r="AW126" i="3"/>
  <c r="AW120" i="3"/>
  <c r="AW11" i="3" s="1"/>
  <c r="AY121" i="3"/>
  <c r="AY12" i="3" s="1"/>
  <c r="AY122" i="3"/>
  <c r="AY13" i="3" s="1"/>
  <c r="AY123" i="3"/>
  <c r="AY14" i="3" s="1"/>
  <c r="AM88" i="3"/>
  <c r="AM89" i="3" s="1"/>
  <c r="AN85" i="3" s="1"/>
  <c r="AN86" i="3" s="1"/>
  <c r="AX124" i="3"/>
  <c r="AW15" i="3"/>
  <c r="BC25" i="3"/>
  <c r="BB25" i="3"/>
  <c r="BC26" i="3"/>
  <c r="BB26" i="3"/>
  <c r="BA24" i="3"/>
  <c r="BA28" i="3" s="1"/>
  <c r="BC23" i="3"/>
  <c r="BB23" i="3"/>
  <c r="BC22" i="3"/>
  <c r="BB22" i="3"/>
  <c r="AV32" i="3" l="1"/>
  <c r="AV69" i="3" s="1"/>
  <c r="AV39" i="3"/>
  <c r="AV41" i="3"/>
  <c r="AV40" i="3"/>
  <c r="AV42" i="3"/>
  <c r="AU61" i="3"/>
  <c r="AW127" i="3" a="1"/>
  <c r="AW127" i="3" s="1"/>
  <c r="AW128" i="3" s="1"/>
  <c r="AU44" i="3"/>
  <c r="AZ123" i="3"/>
  <c r="AZ14" i="3" s="1"/>
  <c r="AZ121" i="3"/>
  <c r="AZ12" i="3" s="1"/>
  <c r="AX126" i="3"/>
  <c r="AX120" i="3"/>
  <c r="AX11" i="3" s="1"/>
  <c r="AW17" i="3"/>
  <c r="AN87" i="3"/>
  <c r="AZ122" i="3"/>
  <c r="AZ13" i="3" s="1"/>
  <c r="AY124" i="3"/>
  <c r="AX15" i="3"/>
  <c r="I25" i="3"/>
  <c r="I26" i="3"/>
  <c r="I23" i="3"/>
  <c r="I22" i="3"/>
  <c r="BC24" i="3"/>
  <c r="BC28" i="3" s="1"/>
  <c r="BB24" i="3"/>
  <c r="BB28" i="3" s="1"/>
  <c r="AV61" i="3" l="1"/>
  <c r="AW32" i="3"/>
  <c r="AW69" i="3" s="1"/>
  <c r="AW41" i="3"/>
  <c r="AW42" i="3"/>
  <c r="AW39" i="3"/>
  <c r="AW40" i="3"/>
  <c r="AX127" i="3" a="1"/>
  <c r="AX127" i="3" s="1"/>
  <c r="AX128" i="3" s="1"/>
  <c r="AV44" i="3"/>
  <c r="BA121" i="3"/>
  <c r="BA12" i="3" s="1"/>
  <c r="BA122" i="3"/>
  <c r="BA13" i="3" s="1"/>
  <c r="BA123" i="3"/>
  <c r="BA14" i="3" s="1"/>
  <c r="AY126" i="3"/>
  <c r="AY120" i="3"/>
  <c r="AY11" i="3" s="1"/>
  <c r="AN88" i="3"/>
  <c r="AN89" i="3" s="1"/>
  <c r="AO85" i="3" s="1"/>
  <c r="AO86" i="3" s="1"/>
  <c r="I28" i="3"/>
  <c r="AX17" i="3"/>
  <c r="AZ124" i="3"/>
  <c r="AY15" i="3"/>
  <c r="AW61" i="3"/>
  <c r="I24" i="3"/>
  <c r="AZ120" i="3"/>
  <c r="AX32" i="3" l="1"/>
  <c r="AX69" i="3" s="1"/>
  <c r="AX39" i="3"/>
  <c r="AX42" i="3"/>
  <c r="AX40" i="3"/>
  <c r="AX41" i="3"/>
  <c r="AY127" i="3" a="1"/>
  <c r="AY127" i="3" s="1"/>
  <c r="AY128" i="3" s="1"/>
  <c r="AW44" i="3"/>
  <c r="AY17" i="3"/>
  <c r="BC122" i="3"/>
  <c r="BC13" i="3" s="1"/>
  <c r="BB122" i="3"/>
  <c r="BB13" i="3" s="1"/>
  <c r="BC123" i="3"/>
  <c r="BB123" i="3"/>
  <c r="BB14" i="3" s="1"/>
  <c r="BC121" i="3"/>
  <c r="BC12" i="3" s="1"/>
  <c r="BB121" i="3"/>
  <c r="BB12" i="3" s="1"/>
  <c r="AO87" i="3"/>
  <c r="AZ126" i="3"/>
  <c r="BA124" i="3"/>
  <c r="AZ15" i="3"/>
  <c r="AX61" i="3"/>
  <c r="BA120" i="3"/>
  <c r="AZ11" i="3"/>
  <c r="AY32" i="3" l="1"/>
  <c r="AY69" i="3" s="1"/>
  <c r="AY39" i="3"/>
  <c r="AY40" i="3"/>
  <c r="AY41" i="3"/>
  <c r="AY42" i="3"/>
  <c r="AZ127" i="3" a="1"/>
  <c r="AZ127" i="3" s="1"/>
  <c r="AZ128" i="3" s="1"/>
  <c r="I13" i="3"/>
  <c r="I12" i="3"/>
  <c r="AX44" i="3"/>
  <c r="AO88" i="3"/>
  <c r="AO89" i="3" s="1"/>
  <c r="AP85" i="3" s="1"/>
  <c r="AP86" i="3" s="1"/>
  <c r="AZ17" i="3"/>
  <c r="BA126" i="3"/>
  <c r="BB124" i="3"/>
  <c r="BA15" i="3"/>
  <c r="AY61" i="3"/>
  <c r="BB120" i="3"/>
  <c r="BA11" i="3"/>
  <c r="BC14" i="3"/>
  <c r="I14" i="3" s="1"/>
  <c r="AZ40" i="3" l="1"/>
  <c r="AZ42" i="3"/>
  <c r="AZ39" i="3"/>
  <c r="AZ41" i="3"/>
  <c r="AY44" i="3"/>
  <c r="BA127" i="3" a="1"/>
  <c r="BA127" i="3" s="1"/>
  <c r="BA128" i="3" s="1"/>
  <c r="AZ32" i="3"/>
  <c r="AP87" i="3"/>
  <c r="BA17" i="3"/>
  <c r="BB126" i="3"/>
  <c r="BB15" i="3"/>
  <c r="BC120" i="3"/>
  <c r="BB11" i="3"/>
  <c r="BA39" i="3" l="1"/>
  <c r="BA40" i="3"/>
  <c r="BA42" i="3"/>
  <c r="BA41" i="3"/>
  <c r="AZ61" i="3"/>
  <c r="AZ69" i="3"/>
  <c r="AZ44" i="3"/>
  <c r="BB127" i="3" a="1"/>
  <c r="BB127" i="3" s="1"/>
  <c r="BB128" i="3" s="1"/>
  <c r="BA32" i="3"/>
  <c r="BA69" i="3" s="1"/>
  <c r="AP88" i="3"/>
  <c r="AP89" i="3" s="1"/>
  <c r="AQ85" i="3" s="1"/>
  <c r="BC124" i="3"/>
  <c r="BC15" i="3" s="1"/>
  <c r="I15" i="3" s="1"/>
  <c r="BB17" i="3"/>
  <c r="BC11" i="3"/>
  <c r="BC126" i="3"/>
  <c r="BC127" i="3" l="1" a="1"/>
  <c r="BC127" i="3" s="1"/>
  <c r="BB40" i="3"/>
  <c r="BB41" i="3"/>
  <c r="BB39" i="3"/>
  <c r="BB42" i="3"/>
  <c r="BA61" i="3"/>
  <c r="BA44" i="3"/>
  <c r="AQ87" i="3"/>
  <c r="AQ86" i="3"/>
  <c r="BB32" i="3"/>
  <c r="BB69" i="3" s="1"/>
  <c r="BC17" i="3"/>
  <c r="I11" i="3"/>
  <c r="BC128" i="3"/>
  <c r="BB66" i="3" s="1"/>
  <c r="AQ88" i="3" l="1"/>
  <c r="AQ89" i="3" s="1"/>
  <c r="AR85" i="3" s="1"/>
  <c r="AR86" i="3" s="1"/>
  <c r="AZ64" i="3"/>
  <c r="AW62" i="3"/>
  <c r="AX51" i="3"/>
  <c r="AZ66" i="3"/>
  <c r="AY54" i="3"/>
  <c r="BA68" i="3"/>
  <c r="BA63" i="3"/>
  <c r="AZ65" i="3"/>
  <c r="BA52" i="3"/>
  <c r="AY65" i="3"/>
  <c r="AX50" i="3"/>
  <c r="AY64" i="3"/>
  <c r="AZ67" i="3"/>
  <c r="BB68" i="3"/>
  <c r="BB51" i="3"/>
  <c r="AV67" i="3"/>
  <c r="AV52" i="3"/>
  <c r="AZ68" i="3"/>
  <c r="AZ63" i="3"/>
  <c r="AZ52" i="3"/>
  <c r="BC62" i="3"/>
  <c r="BC66" i="3"/>
  <c r="BC63" i="3"/>
  <c r="BC51" i="3"/>
  <c r="BC52" i="3"/>
  <c r="BC64" i="3"/>
  <c r="BC67" i="3"/>
  <c r="BC53" i="3"/>
  <c r="BC54" i="3"/>
  <c r="BC65" i="3"/>
  <c r="BC50" i="3"/>
  <c r="K67" i="3"/>
  <c r="K65" i="3"/>
  <c r="N68" i="3"/>
  <c r="K66" i="3"/>
  <c r="K52" i="3"/>
  <c r="M68" i="3"/>
  <c r="K63" i="3"/>
  <c r="L68" i="3"/>
  <c r="L50" i="3"/>
  <c r="L65" i="3"/>
  <c r="K53" i="3"/>
  <c r="K62" i="3"/>
  <c r="L53" i="3"/>
  <c r="L54" i="3"/>
  <c r="M65" i="3"/>
  <c r="K51" i="3"/>
  <c r="L66" i="3"/>
  <c r="L63" i="3"/>
  <c r="L67" i="3"/>
  <c r="L52" i="3"/>
  <c r="N66" i="3"/>
  <c r="M63" i="3"/>
  <c r="M52" i="3"/>
  <c r="M53" i="3"/>
  <c r="M51" i="3"/>
  <c r="L64" i="3"/>
  <c r="M67" i="3"/>
  <c r="K50" i="3"/>
  <c r="O68" i="3"/>
  <c r="L51" i="3"/>
  <c r="M50" i="3"/>
  <c r="K54" i="3"/>
  <c r="N65" i="3"/>
  <c r="N54" i="3"/>
  <c r="N67" i="3"/>
  <c r="M64" i="3"/>
  <c r="M54" i="3"/>
  <c r="N51" i="3"/>
  <c r="K64" i="3"/>
  <c r="M62" i="3"/>
  <c r="M66" i="3"/>
  <c r="P68" i="3"/>
  <c r="L62" i="3"/>
  <c r="N53" i="3"/>
  <c r="N52" i="3"/>
  <c r="O53" i="3"/>
  <c r="O50" i="3"/>
  <c r="O51" i="3"/>
  <c r="O64" i="3"/>
  <c r="O63" i="3"/>
  <c r="N63" i="3"/>
  <c r="O66" i="3"/>
  <c r="N64" i="3"/>
  <c r="N62" i="3"/>
  <c r="N50" i="3"/>
  <c r="P53" i="3"/>
  <c r="P63" i="3"/>
  <c r="P64" i="3"/>
  <c r="P52" i="3"/>
  <c r="O54" i="3"/>
  <c r="Q68" i="3"/>
  <c r="O65" i="3"/>
  <c r="O62" i="3"/>
  <c r="P51" i="3"/>
  <c r="Q65" i="3"/>
  <c r="O52" i="3"/>
  <c r="O67" i="3"/>
  <c r="P65" i="3"/>
  <c r="P62" i="3"/>
  <c r="Q62" i="3"/>
  <c r="Q52" i="3"/>
  <c r="R68" i="3"/>
  <c r="Q53" i="3"/>
  <c r="Q64" i="3"/>
  <c r="R64" i="3"/>
  <c r="P54" i="3"/>
  <c r="S68" i="3"/>
  <c r="R65" i="3"/>
  <c r="R66" i="3"/>
  <c r="Q63" i="3"/>
  <c r="Q51" i="3"/>
  <c r="R52" i="3"/>
  <c r="Q54" i="3"/>
  <c r="Q66" i="3"/>
  <c r="Q67" i="3"/>
  <c r="P67" i="3"/>
  <c r="R53" i="3"/>
  <c r="P66" i="3"/>
  <c r="Q50" i="3"/>
  <c r="P50" i="3"/>
  <c r="S51" i="3"/>
  <c r="R62" i="3"/>
  <c r="R67" i="3"/>
  <c r="T68" i="3"/>
  <c r="S62" i="3"/>
  <c r="S67" i="3"/>
  <c r="T54" i="3"/>
  <c r="S50" i="3"/>
  <c r="R54" i="3"/>
  <c r="R63" i="3"/>
  <c r="U53" i="3"/>
  <c r="S52" i="3"/>
  <c r="S65" i="3"/>
  <c r="T67" i="3"/>
  <c r="T66" i="3"/>
  <c r="S63" i="3"/>
  <c r="R50" i="3"/>
  <c r="U68" i="3"/>
  <c r="T52" i="3"/>
  <c r="U64" i="3"/>
  <c r="S64" i="3"/>
  <c r="S66" i="3"/>
  <c r="T63" i="3"/>
  <c r="R51" i="3"/>
  <c r="U51" i="3"/>
  <c r="V68" i="3"/>
  <c r="T50" i="3"/>
  <c r="T51" i="3"/>
  <c r="S54" i="3"/>
  <c r="U67" i="3"/>
  <c r="U63" i="3"/>
  <c r="T53" i="3"/>
  <c r="T64" i="3"/>
  <c r="T62" i="3"/>
  <c r="U50" i="3"/>
  <c r="V53" i="3"/>
  <c r="V52" i="3"/>
  <c r="V66" i="3"/>
  <c r="T65" i="3"/>
  <c r="U52" i="3"/>
  <c r="S53" i="3"/>
  <c r="W68" i="3"/>
  <c r="V63" i="3"/>
  <c r="V62" i="3"/>
  <c r="U54" i="3"/>
  <c r="V64" i="3"/>
  <c r="X68" i="3"/>
  <c r="V67" i="3"/>
  <c r="W63" i="3"/>
  <c r="V54" i="3"/>
  <c r="U65" i="3"/>
  <c r="U62" i="3"/>
  <c r="W54" i="3"/>
  <c r="U66" i="3"/>
  <c r="Y66" i="3"/>
  <c r="X51" i="3"/>
  <c r="V51" i="3"/>
  <c r="V65" i="3"/>
  <c r="W50" i="3"/>
  <c r="W62" i="3"/>
  <c r="W67" i="3"/>
  <c r="Y68" i="3"/>
  <c r="W64" i="3"/>
  <c r="X66" i="3"/>
  <c r="X64" i="3"/>
  <c r="V50" i="3"/>
  <c r="X50" i="3"/>
  <c r="W52" i="3"/>
  <c r="X67" i="3"/>
  <c r="X53" i="3"/>
  <c r="Y54" i="3"/>
  <c r="W66" i="3"/>
  <c r="X54" i="3"/>
  <c r="Y65" i="3"/>
  <c r="X63" i="3"/>
  <c r="W53" i="3"/>
  <c r="Y52" i="3"/>
  <c r="X62" i="3"/>
  <c r="W51" i="3"/>
  <c r="X65" i="3"/>
  <c r="Z66" i="3"/>
  <c r="Y67" i="3"/>
  <c r="Y51" i="3"/>
  <c r="Y53" i="3"/>
  <c r="X52" i="3"/>
  <c r="AC68" i="3"/>
  <c r="Z64" i="3"/>
  <c r="Z53" i="3"/>
  <c r="AA68" i="3"/>
  <c r="Y64" i="3"/>
  <c r="Z68" i="3"/>
  <c r="Z62" i="3"/>
  <c r="Y63" i="3"/>
  <c r="Y50" i="3"/>
  <c r="W65" i="3"/>
  <c r="Z52" i="3"/>
  <c r="Z67" i="3"/>
  <c r="Y62" i="3"/>
  <c r="AA64" i="3"/>
  <c r="Z63" i="3"/>
  <c r="Z65" i="3"/>
  <c r="Z51" i="3"/>
  <c r="AA63" i="3"/>
  <c r="AA67" i="3"/>
  <c r="Z50" i="3"/>
  <c r="AA66" i="3"/>
  <c r="AB68" i="3"/>
  <c r="AA54" i="3"/>
  <c r="Z54" i="3"/>
  <c r="AA50" i="3"/>
  <c r="AA62" i="3"/>
  <c r="AB63" i="3"/>
  <c r="AA52" i="3"/>
  <c r="AB65" i="3"/>
  <c r="AA53" i="3"/>
  <c r="AB53" i="3"/>
  <c r="AB51" i="3"/>
  <c r="AD68" i="3"/>
  <c r="AA65" i="3"/>
  <c r="AB66" i="3"/>
  <c r="AB52" i="3"/>
  <c r="AB67" i="3"/>
  <c r="AC65" i="3"/>
  <c r="AC63" i="3"/>
  <c r="AB64" i="3"/>
  <c r="AB50" i="3"/>
  <c r="AC50" i="3"/>
  <c r="AC64" i="3"/>
  <c r="AC51" i="3"/>
  <c r="AC62" i="3"/>
  <c r="AC52" i="3"/>
  <c r="AA51" i="3"/>
  <c r="AD50" i="3"/>
  <c r="AC66" i="3"/>
  <c r="AD64" i="3"/>
  <c r="AD67" i="3"/>
  <c r="AC53" i="3"/>
  <c r="AD53" i="3"/>
  <c r="AC67" i="3"/>
  <c r="AE66" i="3"/>
  <c r="AE68" i="3"/>
  <c r="AB62" i="3"/>
  <c r="AD51" i="3"/>
  <c r="AE54" i="3"/>
  <c r="AD63" i="3"/>
  <c r="AE51" i="3"/>
  <c r="AE63" i="3"/>
  <c r="AE53" i="3"/>
  <c r="AD65" i="3"/>
  <c r="AB54" i="3"/>
  <c r="AF68" i="3"/>
  <c r="AD66" i="3"/>
  <c r="AF62" i="3"/>
  <c r="AE50" i="3"/>
  <c r="AE64" i="3"/>
  <c r="AD62" i="3"/>
  <c r="AC54" i="3"/>
  <c r="AD52" i="3"/>
  <c r="AH68" i="3"/>
  <c r="AI68" i="3"/>
  <c r="AE62" i="3"/>
  <c r="AF63" i="3"/>
  <c r="AF67" i="3"/>
  <c r="AD54" i="3"/>
  <c r="AF66" i="3"/>
  <c r="AF52" i="3"/>
  <c r="AF51" i="3"/>
  <c r="AF53" i="3"/>
  <c r="AE65" i="3"/>
  <c r="AE52" i="3"/>
  <c r="AF65" i="3"/>
  <c r="AE67" i="3"/>
  <c r="AF50" i="3"/>
  <c r="AF64" i="3"/>
  <c r="AG64" i="3"/>
  <c r="AG67" i="3"/>
  <c r="AG66" i="3"/>
  <c r="AG50" i="3"/>
  <c r="AG68" i="3"/>
  <c r="AG54" i="3"/>
  <c r="AF54" i="3"/>
  <c r="AG53" i="3"/>
  <c r="AJ63" i="3"/>
  <c r="AI66" i="3"/>
  <c r="AH53" i="3"/>
  <c r="AH66" i="3"/>
  <c r="AH51" i="3"/>
  <c r="AH63" i="3"/>
  <c r="AH64" i="3"/>
  <c r="AG62" i="3"/>
  <c r="AH54" i="3"/>
  <c r="AI50" i="3"/>
  <c r="AG51" i="3"/>
  <c r="AG63" i="3"/>
  <c r="AH52" i="3"/>
  <c r="AI63" i="3"/>
  <c r="AI64" i="3"/>
  <c r="AI54" i="3"/>
  <c r="AH65" i="3"/>
  <c r="AH50" i="3"/>
  <c r="AH67" i="3"/>
  <c r="AG65" i="3"/>
  <c r="AJ68" i="3"/>
  <c r="AG52" i="3"/>
  <c r="AH62" i="3"/>
  <c r="AI65" i="3"/>
  <c r="AI67" i="3"/>
  <c r="AL68" i="3"/>
  <c r="AI51" i="3"/>
  <c r="AK68" i="3"/>
  <c r="AI53" i="3"/>
  <c r="AK65" i="3"/>
  <c r="AJ62" i="3"/>
  <c r="AJ53" i="3"/>
  <c r="AK66" i="3"/>
  <c r="AI52" i="3"/>
  <c r="AN68" i="3"/>
  <c r="AK63" i="3"/>
  <c r="AK62" i="3"/>
  <c r="AJ67" i="3"/>
  <c r="AI62" i="3"/>
  <c r="AJ54" i="3"/>
  <c r="AM68" i="3"/>
  <c r="AJ66" i="3"/>
  <c r="AK50" i="3"/>
  <c r="AJ65" i="3"/>
  <c r="AK54" i="3"/>
  <c r="AJ64" i="3"/>
  <c r="AJ51" i="3"/>
  <c r="AK51" i="3"/>
  <c r="AK52" i="3"/>
  <c r="AJ52" i="3"/>
  <c r="AK64" i="3"/>
  <c r="AL50" i="3"/>
  <c r="AL66" i="3"/>
  <c r="AK67" i="3"/>
  <c r="AL62" i="3"/>
  <c r="AL54" i="3"/>
  <c r="AL52" i="3"/>
  <c r="AK53" i="3"/>
  <c r="AM51" i="3"/>
  <c r="AM53" i="3"/>
  <c r="AL53" i="3"/>
  <c r="AL67" i="3"/>
  <c r="AL65" i="3"/>
  <c r="AL63" i="3"/>
  <c r="AM67" i="3"/>
  <c r="AJ50" i="3"/>
  <c r="AM65" i="3"/>
  <c r="AL51" i="3"/>
  <c r="AN53" i="3"/>
  <c r="AL64" i="3"/>
  <c r="AM50" i="3"/>
  <c r="AN63" i="3"/>
  <c r="AM64" i="3"/>
  <c r="AP68" i="3"/>
  <c r="AM52" i="3"/>
  <c r="AN66" i="3"/>
  <c r="AM63" i="3"/>
  <c r="AM62" i="3"/>
  <c r="AN51" i="3"/>
  <c r="AN64" i="3"/>
  <c r="AN67" i="3"/>
  <c r="AN65" i="3"/>
  <c r="AO64" i="3"/>
  <c r="AO68" i="3"/>
  <c r="AM54" i="3"/>
  <c r="AN52" i="3"/>
  <c r="AO65" i="3"/>
  <c r="AO63" i="3"/>
  <c r="AN62" i="3"/>
  <c r="AM66" i="3"/>
  <c r="AO52" i="3"/>
  <c r="AO62" i="3"/>
  <c r="AN50" i="3"/>
  <c r="AP50" i="3"/>
  <c r="AP65" i="3"/>
  <c r="AQ64" i="3"/>
  <c r="AO53" i="3"/>
  <c r="AP51" i="3"/>
  <c r="AO66" i="3"/>
  <c r="AO50" i="3"/>
  <c r="AO54" i="3"/>
  <c r="AP53" i="3"/>
  <c r="AQ68" i="3"/>
  <c r="AP62" i="3"/>
  <c r="AR68" i="3"/>
  <c r="AN54" i="3"/>
  <c r="AP54" i="3"/>
  <c r="AQ63" i="3"/>
  <c r="AS68" i="3"/>
  <c r="AO67" i="3"/>
  <c r="AP67" i="3"/>
  <c r="AP52" i="3"/>
  <c r="AP63" i="3"/>
  <c r="AP66" i="3"/>
  <c r="AQ51" i="3"/>
  <c r="AQ53" i="3"/>
  <c r="AQ65" i="3"/>
  <c r="AQ62" i="3"/>
  <c r="AS64" i="3"/>
  <c r="AR65" i="3"/>
  <c r="AQ50" i="3"/>
  <c r="AO51" i="3"/>
  <c r="AR54" i="3"/>
  <c r="AR64" i="3"/>
  <c r="AQ52" i="3"/>
  <c r="AP64" i="3"/>
  <c r="AR62" i="3"/>
  <c r="AT68" i="3"/>
  <c r="AQ54" i="3"/>
  <c r="AQ67" i="3"/>
  <c r="AR67" i="3"/>
  <c r="AR51" i="3"/>
  <c r="AR53" i="3"/>
  <c r="AR52" i="3"/>
  <c r="AR66" i="3"/>
  <c r="AS63" i="3"/>
  <c r="AS66" i="3"/>
  <c r="AS54" i="3"/>
  <c r="AS52" i="3"/>
  <c r="AR50" i="3"/>
  <c r="AU68" i="3"/>
  <c r="AT50" i="3"/>
  <c r="AS50" i="3"/>
  <c r="AT52" i="3"/>
  <c r="AT53" i="3"/>
  <c r="AT67" i="3"/>
  <c r="AU54" i="3"/>
  <c r="AS62" i="3"/>
  <c r="AS65" i="3"/>
  <c r="AR63" i="3"/>
  <c r="AS53" i="3"/>
  <c r="AQ66" i="3"/>
  <c r="AT63" i="3"/>
  <c r="AT64" i="3"/>
  <c r="AV68" i="3"/>
  <c r="AT62" i="3"/>
  <c r="AS51" i="3"/>
  <c r="AT54" i="3"/>
  <c r="AV50" i="3"/>
  <c r="AT51" i="3"/>
  <c r="AT66" i="3"/>
  <c r="AU67" i="3"/>
  <c r="AU66" i="3"/>
  <c r="AT65" i="3"/>
  <c r="AU52" i="3"/>
  <c r="AU51" i="3"/>
  <c r="AU62" i="3"/>
  <c r="AS67" i="3"/>
  <c r="AU64" i="3"/>
  <c r="AU53" i="3"/>
  <c r="AX63" i="3"/>
  <c r="AY68" i="3"/>
  <c r="AV64" i="3"/>
  <c r="AW64" i="3"/>
  <c r="AW65" i="3"/>
  <c r="AU63" i="3"/>
  <c r="AV51" i="3"/>
  <c r="AV53" i="3"/>
  <c r="AV54" i="3"/>
  <c r="AV66" i="3"/>
  <c r="AV65" i="3"/>
  <c r="AW68" i="3"/>
  <c r="AX68" i="3"/>
  <c r="AV62" i="3"/>
  <c r="AV63" i="3"/>
  <c r="AU50" i="3"/>
  <c r="AZ62" i="3"/>
  <c r="BA65" i="3"/>
  <c r="AY66" i="3"/>
  <c r="AX52" i="3"/>
  <c r="AW63" i="3"/>
  <c r="AY52" i="3"/>
  <c r="AW51" i="3"/>
  <c r="BA53" i="3"/>
  <c r="AZ51" i="3"/>
  <c r="AX54" i="3"/>
  <c r="BA67" i="3"/>
  <c r="BC68" i="3"/>
  <c r="BA50" i="3"/>
  <c r="AW54" i="3"/>
  <c r="AW52" i="3"/>
  <c r="BB54" i="3"/>
  <c r="BB52" i="3"/>
  <c r="BB64" i="3"/>
  <c r="AX65" i="3"/>
  <c r="BA54" i="3"/>
  <c r="BA51" i="3"/>
  <c r="AW66" i="3"/>
  <c r="BA64" i="3"/>
  <c r="AY63" i="3"/>
  <c r="AZ54" i="3"/>
  <c r="AU65" i="3"/>
  <c r="AX62" i="3"/>
  <c r="AY51" i="3"/>
  <c r="AY62" i="3"/>
  <c r="AX67" i="3"/>
  <c r="AX64" i="3"/>
  <c r="AY50" i="3"/>
  <c r="BB53" i="3"/>
  <c r="BB65" i="3"/>
  <c r="BB67" i="3"/>
  <c r="I17" i="3"/>
  <c r="BC39" i="3"/>
  <c r="I39" i="3" s="1"/>
  <c r="BC40" i="3"/>
  <c r="I40" i="3" s="1"/>
  <c r="BC41" i="3"/>
  <c r="I41" i="3" s="1"/>
  <c r="BC42" i="3"/>
  <c r="I42" i="3" s="1"/>
  <c r="BA66" i="3"/>
  <c r="AZ53" i="3"/>
  <c r="BA62" i="3"/>
  <c r="AY67" i="3"/>
  <c r="AW53" i="3"/>
  <c r="AX66" i="3"/>
  <c r="AW50" i="3"/>
  <c r="AW67" i="3"/>
  <c r="AY53" i="3"/>
  <c r="AX53" i="3"/>
  <c r="AZ50" i="3"/>
  <c r="BB50" i="3"/>
  <c r="BB62" i="3"/>
  <c r="BB63" i="3"/>
  <c r="BB44" i="3"/>
  <c r="BB61" i="3"/>
  <c r="BC32" i="3"/>
  <c r="AR87" i="3"/>
  <c r="AR88" i="3" s="1"/>
  <c r="AR89" i="3" s="1"/>
  <c r="AS85" i="3" s="1"/>
  <c r="AS86" i="3" s="1"/>
  <c r="BC61" i="3" l="1"/>
  <c r="BC69" i="3"/>
  <c r="I69" i="3" s="1"/>
  <c r="I32" i="3"/>
  <c r="BC44" i="3"/>
  <c r="I44" i="3" s="1"/>
  <c r="AS87" i="3"/>
  <c r="AS88" i="3" s="1"/>
  <c r="AS89" i="3" s="1"/>
  <c r="AT85" i="3" s="1"/>
  <c r="AT86" i="3" s="1"/>
  <c r="Z56" i="3"/>
  <c r="W71" i="3"/>
  <c r="AN71" i="3"/>
  <c r="AN56" i="3"/>
  <c r="AK71" i="3"/>
  <c r="AJ56" i="3"/>
  <c r="AI56" i="3"/>
  <c r="AB56" i="3"/>
  <c r="AA71" i="3"/>
  <c r="AT56" i="3"/>
  <c r="AK56" i="3"/>
  <c r="AE56" i="3"/>
  <c r="T56" i="3"/>
  <c r="P56" i="3"/>
  <c r="AL71" i="3"/>
  <c r="Y71" i="3"/>
  <c r="BB71" i="3"/>
  <c r="BB56" i="3"/>
  <c r="AW71" i="3"/>
  <c r="AI71" i="3"/>
  <c r="I67" i="3"/>
  <c r="I53" i="3"/>
  <c r="AZ71" i="3"/>
  <c r="AW56" i="3"/>
  <c r="AD71" i="3"/>
  <c r="Y56" i="3"/>
  <c r="N71" i="3"/>
  <c r="I64" i="3"/>
  <c r="K56" i="3"/>
  <c r="I51" i="3"/>
  <c r="AZ56" i="3"/>
  <c r="AV56" i="3"/>
  <c r="AU56" i="3"/>
  <c r="AS56" i="3"/>
  <c r="AR56" i="3"/>
  <c r="AO71" i="3"/>
  <c r="AJ71" i="3"/>
  <c r="AH56" i="3"/>
  <c r="AG56" i="3"/>
  <c r="AG71" i="3"/>
  <c r="AC56" i="3"/>
  <c r="X71" i="3"/>
  <c r="V56" i="3"/>
  <c r="T71" i="3"/>
  <c r="U71" i="3"/>
  <c r="N56" i="3"/>
  <c r="I52" i="3"/>
  <c r="L56" i="3"/>
  <c r="I50" i="3"/>
  <c r="L71" i="3"/>
  <c r="I54" i="3"/>
  <c r="I65" i="3"/>
  <c r="BA71" i="3"/>
  <c r="AH71" i="3"/>
  <c r="I68" i="3"/>
  <c r="AX71" i="3"/>
  <c r="BA56" i="3"/>
  <c r="AT71" i="3"/>
  <c r="AU71" i="3"/>
  <c r="AS71" i="3"/>
  <c r="AQ71" i="3"/>
  <c r="AM71" i="3"/>
  <c r="AD56" i="3"/>
  <c r="AC71" i="3"/>
  <c r="V71" i="3"/>
  <c r="Q56" i="3"/>
  <c r="O71" i="3"/>
  <c r="M56" i="3"/>
  <c r="BC56" i="3"/>
  <c r="BC71" i="3"/>
  <c r="I61" i="3"/>
  <c r="AX56" i="3"/>
  <c r="AY56" i="3"/>
  <c r="AY71" i="3"/>
  <c r="AV71" i="3"/>
  <c r="AQ56" i="3"/>
  <c r="AR71" i="3"/>
  <c r="AP56" i="3"/>
  <c r="AP71" i="3"/>
  <c r="AO56" i="3"/>
  <c r="AM56" i="3"/>
  <c r="AL56" i="3"/>
  <c r="AF56" i="3"/>
  <c r="AF71" i="3"/>
  <c r="AE71" i="3"/>
  <c r="AA56" i="3"/>
  <c r="AB71" i="3"/>
  <c r="Z71" i="3"/>
  <c r="X56" i="3"/>
  <c r="W56" i="3"/>
  <c r="U56" i="3"/>
  <c r="R56" i="3"/>
  <c r="S56" i="3"/>
  <c r="S71" i="3"/>
  <c r="R71" i="3"/>
  <c r="Q71" i="3"/>
  <c r="O56" i="3"/>
  <c r="P71" i="3"/>
  <c r="M71" i="3"/>
  <c r="I62" i="3"/>
  <c r="K71" i="3"/>
  <c r="I66" i="3"/>
  <c r="I63" i="3"/>
  <c r="AI75" i="3" l="1"/>
  <c r="K75" i="3"/>
  <c r="K94" i="3" s="1"/>
  <c r="AA75" i="3"/>
  <c r="AA77" i="3" s="1"/>
  <c r="AT87" i="3"/>
  <c r="W75" i="3"/>
  <c r="W94" i="3" s="1"/>
  <c r="Z75" i="3"/>
  <c r="Z77" i="3" s="1"/>
  <c r="AC75" i="3"/>
  <c r="AC77" i="3" s="1"/>
  <c r="T75" i="3"/>
  <c r="T77" i="3" s="1"/>
  <c r="AU75" i="3"/>
  <c r="AU77" i="3" s="1"/>
  <c r="AI77" i="3"/>
  <c r="AI94" i="3"/>
  <c r="AK75" i="3"/>
  <c r="AG75" i="3"/>
  <c r="AP75" i="3"/>
  <c r="AB75" i="3"/>
  <c r="AV75" i="3"/>
  <c r="AL75" i="3"/>
  <c r="AE75" i="3"/>
  <c r="AJ75" i="3"/>
  <c r="P75" i="3"/>
  <c r="AT75" i="3"/>
  <c r="AN75" i="3"/>
  <c r="AQ75" i="3"/>
  <c r="Y75" i="3"/>
  <c r="BB75" i="3"/>
  <c r="M75" i="3"/>
  <c r="R75" i="3"/>
  <c r="O75" i="3"/>
  <c r="AO75" i="3"/>
  <c r="S75" i="3"/>
  <c r="AY75" i="3"/>
  <c r="BC75" i="3"/>
  <c r="AM75" i="3"/>
  <c r="AH75" i="3"/>
  <c r="N75" i="3"/>
  <c r="AW75" i="3"/>
  <c r="AD75" i="3"/>
  <c r="AR75" i="3"/>
  <c r="I71" i="3"/>
  <c r="L75" i="3"/>
  <c r="X75" i="3"/>
  <c r="V75" i="3"/>
  <c r="Q75" i="3"/>
  <c r="AF75" i="3"/>
  <c r="AS75" i="3"/>
  <c r="AX75" i="3"/>
  <c r="BA75" i="3"/>
  <c r="U75" i="3"/>
  <c r="I56" i="3"/>
  <c r="AZ75" i="3"/>
  <c r="K77" i="3" l="1"/>
  <c r="AA94" i="3"/>
  <c r="W77" i="3"/>
  <c r="Z94" i="3"/>
  <c r="AT88" i="3"/>
  <c r="AT89" i="3" s="1"/>
  <c r="AU85" i="3" s="1"/>
  <c r="AU86" i="3" s="1"/>
  <c r="T94" i="3"/>
  <c r="AC94" i="3"/>
  <c r="AR77" i="3"/>
  <c r="AR94" i="3"/>
  <c r="S77" i="3"/>
  <c r="S94" i="3"/>
  <c r="AN77" i="3"/>
  <c r="AN94" i="3"/>
  <c r="AE77" i="3"/>
  <c r="AE94" i="3"/>
  <c r="AP77" i="3"/>
  <c r="AP94" i="3"/>
  <c r="V77" i="3"/>
  <c r="V94" i="3"/>
  <c r="AS77" i="3"/>
  <c r="AS94" i="3"/>
  <c r="X77" i="3"/>
  <c r="X94" i="3"/>
  <c r="AD77" i="3"/>
  <c r="AD94" i="3"/>
  <c r="AM77" i="3"/>
  <c r="AM94" i="3"/>
  <c r="AO77" i="3"/>
  <c r="AO94" i="3"/>
  <c r="BB77" i="3"/>
  <c r="AT77" i="3"/>
  <c r="AT94" i="3"/>
  <c r="AL77" i="3"/>
  <c r="AL94" i="3"/>
  <c r="AG77" i="3"/>
  <c r="AG94" i="3"/>
  <c r="AX77" i="3"/>
  <c r="M77" i="3"/>
  <c r="M94" i="3"/>
  <c r="U77" i="3"/>
  <c r="U94" i="3"/>
  <c r="AF77" i="3"/>
  <c r="AF94" i="3"/>
  <c r="L77" i="3"/>
  <c r="L94" i="3"/>
  <c r="AW77" i="3"/>
  <c r="BC77" i="3"/>
  <c r="O77" i="3"/>
  <c r="O94" i="3"/>
  <c r="Y77" i="3"/>
  <c r="Y94" i="3"/>
  <c r="P77" i="3"/>
  <c r="P94" i="3"/>
  <c r="AV77" i="3"/>
  <c r="AZ77" i="3"/>
  <c r="AH77" i="3"/>
  <c r="AH94" i="3"/>
  <c r="BA77" i="3"/>
  <c r="Q77" i="3"/>
  <c r="Q94" i="3"/>
  <c r="N77" i="3"/>
  <c r="N94" i="3"/>
  <c r="AY77" i="3"/>
  <c r="R77" i="3"/>
  <c r="R94" i="3"/>
  <c r="AQ77" i="3"/>
  <c r="AQ94" i="3"/>
  <c r="AJ77" i="3"/>
  <c r="AJ94" i="3"/>
  <c r="AB77" i="3"/>
  <c r="AB94" i="3"/>
  <c r="AK77" i="3"/>
  <c r="AK94" i="3"/>
  <c r="I75" i="3"/>
  <c r="AU87" i="3" l="1"/>
  <c r="I77" i="3"/>
  <c r="AU88" i="3" l="1"/>
  <c r="AU89" i="3" s="1"/>
  <c r="AV85" i="3" s="1"/>
  <c r="AV86" i="3" s="1"/>
  <c r="AU94" i="3"/>
  <c r="AV87" i="3" l="1"/>
  <c r="AV88" i="3" l="1"/>
  <c r="AV94" i="3"/>
  <c r="AV89" i="3" l="1"/>
  <c r="AW85" i="3" s="1"/>
  <c r="AW86" i="3" s="1"/>
  <c r="AW87" i="3" l="1"/>
  <c r="AW88" i="3" l="1"/>
  <c r="AW94" i="3"/>
  <c r="AW89" i="3" l="1"/>
  <c r="AX85" i="3" s="1"/>
  <c r="AX86" i="3" s="1"/>
  <c r="AX87" i="3" l="1"/>
  <c r="AX88" i="3" l="1"/>
  <c r="AX94" i="3"/>
  <c r="AX89" i="3" l="1"/>
  <c r="AY85" i="3" s="1"/>
  <c r="AY86" i="3" s="1"/>
  <c r="AY87" i="3" l="1"/>
  <c r="AY88" i="3" l="1"/>
  <c r="AY94" i="3"/>
  <c r="AY89" i="3" l="1"/>
  <c r="AZ85" i="3" s="1"/>
  <c r="AZ86" i="3" s="1"/>
  <c r="AZ87" i="3" l="1"/>
  <c r="AZ88" i="3" l="1"/>
  <c r="AZ94" i="3"/>
  <c r="AZ89" i="3" l="1"/>
  <c r="BA85" i="3" s="1"/>
  <c r="BA86" i="3" s="1"/>
  <c r="BA87" i="3" l="1"/>
  <c r="BA88" i="3" l="1"/>
  <c r="BA89" i="3" s="1"/>
  <c r="BB85" i="3" s="1"/>
  <c r="BB86" i="3" s="1"/>
  <c r="BA94" i="3"/>
  <c r="BB87" i="3" l="1"/>
  <c r="BB94" i="3" l="1"/>
  <c r="BB88" i="3"/>
  <c r="BB89" i="3" s="1"/>
  <c r="BC85" i="3" s="1"/>
  <c r="BC86" i="3" s="1"/>
  <c r="BC87" i="3" l="1"/>
  <c r="I87" i="3" s="1"/>
  <c r="BC94" i="3" l="1"/>
  <c r="I94" i="3" s="1"/>
  <c r="BC88" i="3"/>
  <c r="I86" i="3"/>
  <c r="I88" i="3" l="1"/>
  <c r="BC8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Fierce-PC</author>
  </authors>
  <commentList>
    <comment ref="B85" authorId="0" shapeId="0" xr:uid="{54D9D892-9811-458D-8AB4-10E27B54BF63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For valuation purposes only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Fierce-PC</author>
    <author>Mark Morgan</author>
  </authors>
  <commentList>
    <comment ref="E6" authorId="0" shapeId="0" xr:uid="{BBE72447-FB4E-414C-A482-DF23D17FA047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Council Rent PCM</t>
        </r>
      </text>
    </comment>
    <comment ref="F6" authorId="0" shapeId="0" xr:uid="{553BB42A-D6C1-47F0-8FCA-FC3628D0FD95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Council price per apartment</t>
        </r>
      </text>
    </comment>
    <comment ref="I39" authorId="0" shapeId="0" xr:uid="{CCB9095F-0910-45D3-9533-ED9F5C4ABBAD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Underground Parking Spaces</t>
        </r>
      </text>
    </comment>
    <comment ref="D60" authorId="1" shapeId="0" xr:uid="{39C4F673-BF82-43E6-8A8C-77437744020F}">
      <text>
        <r>
          <rPr>
            <b/>
            <sz val="9"/>
            <color indexed="81"/>
            <rFont val="Tahoma"/>
            <family val="2"/>
          </rPr>
          <t>Mark Morgan:</t>
        </r>
        <r>
          <rPr>
            <sz val="9"/>
            <color indexed="81"/>
            <rFont val="Tahoma"/>
            <family val="2"/>
          </rPr>
          <t xml:space="preserve">
Table is provided for modelling purposes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<sst xmlns="http://schemas.openxmlformats.org/spreadsheetml/2006/main" count="232" uniqueCount="163">
  <si>
    <t>Cost</t>
  </si>
  <si>
    <t>Assumption</t>
  </si>
  <si>
    <t>Measurement</t>
  </si>
  <si>
    <t>Property Costs</t>
  </si>
  <si>
    <t>Frequency</t>
  </si>
  <si>
    <t>Quarterly</t>
  </si>
  <si>
    <t>Monthly</t>
  </si>
  <si>
    <t>Bi-annual</t>
  </si>
  <si>
    <t>Total Property Costs</t>
  </si>
  <si>
    <t>per unit</t>
  </si>
  <si>
    <t>Admin Costs</t>
  </si>
  <si>
    <t>Accountancy</t>
  </si>
  <si>
    <t>Insurance</t>
  </si>
  <si>
    <t>Bank Charges</t>
  </si>
  <si>
    <t>Valuations</t>
  </si>
  <si>
    <t>Total Admin Costs</t>
  </si>
  <si>
    <t># of units</t>
  </si>
  <si>
    <t>Block</t>
  </si>
  <si>
    <t>Unit Schedule</t>
  </si>
  <si>
    <t>Apt / Type</t>
  </si>
  <si>
    <t>NIA Sqft</t>
  </si>
  <si>
    <t>Rent pm</t>
  </si>
  <si>
    <t>Accomodation Schedule</t>
  </si>
  <si>
    <t>Total</t>
  </si>
  <si>
    <t>Block Schedule</t>
  </si>
  <si>
    <t>Rent Roll</t>
  </si>
  <si>
    <t>NIA sqft</t>
  </si>
  <si>
    <t>Rent Roll pm</t>
  </si>
  <si>
    <t>Efficiency</t>
  </si>
  <si>
    <t>U/G PS</t>
  </si>
  <si>
    <t>GIA sqft</t>
  </si>
  <si>
    <t>Phase</t>
  </si>
  <si>
    <t>Private</t>
  </si>
  <si>
    <t>Part V</t>
  </si>
  <si>
    <t>Council Rent</t>
  </si>
  <si>
    <t>Council Price</t>
  </si>
  <si>
    <t>Council GDV</t>
  </si>
  <si>
    <t># of rented units</t>
  </si>
  <si>
    <t>Con. Start</t>
  </si>
  <si>
    <t>Months Build</t>
  </si>
  <si>
    <t>Con. End</t>
  </si>
  <si>
    <t>Construction Phase Inputs / Outputs</t>
  </si>
  <si>
    <t>Cost Allocation</t>
  </si>
  <si>
    <t>Rough Hard Cost</t>
  </si>
  <si>
    <t>Construction Phase Schedule</t>
  </si>
  <si>
    <t>Construct Phase</t>
  </si>
  <si>
    <t>% rent roll</t>
  </si>
  <si>
    <t>% of units</t>
  </si>
  <si>
    <t>Rent psf NIA</t>
  </si>
  <si>
    <t>Studio</t>
  </si>
  <si>
    <t>Method of Part V Disposal</t>
  </si>
  <si>
    <t>Phase 1</t>
  </si>
  <si>
    <t>Phase 2</t>
  </si>
  <si>
    <t>Phase 3</t>
  </si>
  <si>
    <t>Phase 4</t>
  </si>
  <si>
    <t>Phase 5</t>
  </si>
  <si>
    <t>1 Bed Apt Type.1</t>
  </si>
  <si>
    <t>1 Bed Apt Type 2</t>
  </si>
  <si>
    <t>2 Bed Apt Type 1</t>
  </si>
  <si>
    <t>2 Bed Apt Type 2</t>
  </si>
  <si>
    <t>3 Bed Apt Type 1</t>
  </si>
  <si>
    <t>3 Bed Apt Type 2</t>
  </si>
  <si>
    <t>PV RR</t>
  </si>
  <si>
    <t>Rent to Council</t>
  </si>
  <si>
    <t>Residential Income</t>
  </si>
  <si>
    <t>Income Flow</t>
  </si>
  <si>
    <t>Rent Roll p/a</t>
  </si>
  <si>
    <t>Total Private</t>
  </si>
  <si>
    <t>Total Part V</t>
  </si>
  <si>
    <t>Total Gross Rent</t>
  </si>
  <si>
    <t>Gross Rent</t>
  </si>
  <si>
    <t>Lease breaks</t>
  </si>
  <si>
    <t>per annum</t>
  </si>
  <si>
    <t>Weeks to re-let</t>
  </si>
  <si>
    <t>Per annum</t>
  </si>
  <si>
    <t>General Vacancy</t>
  </si>
  <si>
    <t>Local Property Tax p/a</t>
  </si>
  <si>
    <t>RTB Registrations</t>
  </si>
  <si>
    <t>Block Management p/a</t>
  </si>
  <si>
    <t>Estate Management p/a</t>
  </si>
  <si>
    <t>Maintenance Cost p/a</t>
  </si>
  <si>
    <t>Furniture Expense p/a</t>
  </si>
  <si>
    <t>Self Management Costs</t>
  </si>
  <si>
    <t>Rental Marketing</t>
  </si>
  <si>
    <t>Manager / Front of House Payroll</t>
  </si>
  <si>
    <t>Asst Manager / Front of House Payroll</t>
  </si>
  <si>
    <t>Leasing Agent</t>
  </si>
  <si>
    <t>Senior Maintenance</t>
  </si>
  <si>
    <t>Assistant Maintenance</t>
  </si>
  <si>
    <t>Concierge</t>
  </si>
  <si>
    <t>Initial Letting fee</t>
  </si>
  <si>
    <t>Software</t>
  </si>
  <si>
    <t>Total Management Cost</t>
  </si>
  <si>
    <t>Personel</t>
  </si>
  <si>
    <t>Rental Growth</t>
  </si>
  <si>
    <t>Sale Date</t>
  </si>
  <si>
    <t>Lease Up</t>
  </si>
  <si>
    <t>per phase</t>
  </si>
  <si>
    <t>Year</t>
  </si>
  <si>
    <t>Phase 1 Term</t>
  </si>
  <si>
    <t>Phase 2 Term</t>
  </si>
  <si>
    <t>Phase 3 Term</t>
  </si>
  <si>
    <t>Phase 4 Term</t>
  </si>
  <si>
    <t>Phase 5 Term</t>
  </si>
  <si>
    <t>Phase 1 Actual Rent</t>
  </si>
  <si>
    <t>Phase 2 Actual Rent</t>
  </si>
  <si>
    <t>Phase 3 Actual Rent</t>
  </si>
  <si>
    <t>Phase 4 Actual Rent</t>
  </si>
  <si>
    <t>Phase 5 Actual Rent</t>
  </si>
  <si>
    <t>Investment Finance and Lease Up</t>
  </si>
  <si>
    <t>Lease up start</t>
  </si>
  <si>
    <t>Lease up Period</t>
  </si>
  <si>
    <t>Units Per Month</t>
  </si>
  <si>
    <t>Private Units</t>
  </si>
  <si>
    <t>Part V Units</t>
  </si>
  <si>
    <t>Private Rented</t>
  </si>
  <si>
    <t>Part V Rented</t>
  </si>
  <si>
    <t>Vacant Units</t>
  </si>
  <si>
    <t>Rental Growth and Vacancy</t>
  </si>
  <si>
    <t>Pirvate Units Occupied</t>
  </si>
  <si>
    <t>Part V units occupied</t>
  </si>
  <si>
    <t>Phase 1 Private Take Up</t>
  </si>
  <si>
    <t>Phase 2 Private Take Up</t>
  </si>
  <si>
    <t>Phase 3 Private Take Up</t>
  </si>
  <si>
    <t>Phase 4 Private Take Up</t>
  </si>
  <si>
    <t>Phase 5 Private Take Up</t>
  </si>
  <si>
    <t>Phase 1 Private Occupancy</t>
  </si>
  <si>
    <t>Phase 2 Private Occupancy</t>
  </si>
  <si>
    <t>Phase 3 Private Occupancy</t>
  </si>
  <si>
    <t>Phase 4 Private Occupancy</t>
  </si>
  <si>
    <t>Phase 5 Private Occupancy</t>
  </si>
  <si>
    <t>Total Units Occupied</t>
  </si>
  <si>
    <t>Investment Finance</t>
  </si>
  <si>
    <t>Total self Management Cost</t>
  </si>
  <si>
    <t>Cash Flow before Finance</t>
  </si>
  <si>
    <t>Loan to Value</t>
  </si>
  <si>
    <t>Interest</t>
  </si>
  <si>
    <t>Gross Cap Rate</t>
  </si>
  <si>
    <t>Private GDV</t>
  </si>
  <si>
    <t>Part V GDV</t>
  </si>
  <si>
    <t>Total GDV</t>
  </si>
  <si>
    <t>Investment Finance (on rented units)</t>
  </si>
  <si>
    <t>Residential Management</t>
  </si>
  <si>
    <t>Interest Payment p/a</t>
  </si>
  <si>
    <t>Capital payment p/a</t>
  </si>
  <si>
    <t>Stabilised NOI</t>
  </si>
  <si>
    <t>DSCR</t>
  </si>
  <si>
    <t>Amortisation</t>
  </si>
  <si>
    <t>Investment Finance Drawdown</t>
  </si>
  <si>
    <t>Beginning Balance</t>
  </si>
  <si>
    <t>Payment</t>
  </si>
  <si>
    <t>Capital Payment</t>
  </si>
  <si>
    <t>Ending Balance</t>
  </si>
  <si>
    <t>Total Management Costs</t>
  </si>
  <si>
    <t>Finance</t>
  </si>
  <si>
    <t>Cash Flow After Finance</t>
  </si>
  <si>
    <t>CFAF</t>
  </si>
  <si>
    <t>Legend</t>
  </si>
  <si>
    <t>Blue = Input</t>
  </si>
  <si>
    <t>Black = Output/Calculation</t>
  </si>
  <si>
    <t>Loan Amount</t>
  </si>
  <si>
    <t>Management Cost Growth</t>
  </si>
  <si>
    <t># units constr.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</si>
</sst>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#,##0_ ;[Red]\-#,##0\ "/>
    <numFmt numFmtId="165" formatCode="#,##0.00_ ;[Red]\-#,##0.00\ "/>
    <numFmt numFmtId="166" formatCode="#,###&quot; month fit out&quot;"/>
    <numFmt numFmtId="167" formatCode="#,##0_ ;\-#,##0\ "/>
    <numFmt numFmtId="168" formatCode="#,###&quot; units&quot;"/>
    <numFmt numFmtId="169" formatCode="#,###&quot; week(s)&quot;"/>
    <numFmt numFmtId="170" formatCode="#,###&quot; p/a&quot;"/>
    <numFmt numFmtId="171" formatCode="#,###&quot; month(s)&quot;"/>
    <numFmt numFmtId="172" formatCode="#,###&quot; years&quot;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rgb="FF0070C0"/>
      <name val="Calibri"/>
      <family val="2"/>
      <scheme val="minor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8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Border="1"/>
    <xf numFmtId="164" fontId="2" fillId="0" borderId="1" xfId="0" applyNumberFormat="1" applyFont="1" applyBorder="1"/>
    <xf numFmtId="164" fontId="0" fillId="0" borderId="1" xfId="0" applyNumberFormat="1" applyBorder="1"/>
    <xf numFmtId="164" fontId="3" fillId="0" borderId="1" xfId="0" applyNumberFormat="1" applyFont="1" applyBorder="1"/>
    <xf numFmtId="10" fontId="3" fillId="0" borderId="1" xfId="1" applyNumberFormat="1" applyFont="1" applyBorder="1"/>
    <xf numFmtId="164" fontId="2" fillId="3" borderId="1" xfId="0" applyNumberFormat="1" applyFont="1" applyFill="1" applyBorder="1"/>
    <xf numFmtId="164" fontId="2" fillId="3" borderId="1" xfId="0" applyNumberFormat="1" applyFont="1" applyFill="1" applyBorder="1" applyAlignment="1">
      <alignment horizontal="right"/>
    </xf>
    <xf numFmtId="164" fontId="0" fillId="0" borderId="0" xfId="0" applyNumberFormat="1" applyFill="1"/>
    <xf numFmtId="164" fontId="4" fillId="2" borderId="0" xfId="0" applyNumberFormat="1" applyFont="1" applyFill="1" applyBorder="1"/>
    <xf numFmtId="164" fontId="3" fillId="0" borderId="1" xfId="0" applyNumberFormat="1" applyFont="1" applyBorder="1" applyAlignment="1">
      <alignment horizontal="left"/>
    </xf>
    <xf numFmtId="164" fontId="9" fillId="0" borderId="1" xfId="0" applyNumberFormat="1" applyFont="1" applyBorder="1"/>
    <xf numFmtId="9" fontId="0" fillId="0" borderId="1" xfId="1" applyFont="1" applyBorder="1"/>
    <xf numFmtId="164" fontId="0" fillId="0" borderId="3" xfId="0" applyNumberFormat="1" applyBorder="1"/>
    <xf numFmtId="164" fontId="11" fillId="0" borderId="3" xfId="0" applyNumberFormat="1" applyFont="1" applyBorder="1"/>
    <xf numFmtId="10" fontId="0" fillId="0" borderId="1" xfId="1" applyNumberFormat="1" applyFont="1" applyBorder="1"/>
    <xf numFmtId="164" fontId="3" fillId="0" borderId="4" xfId="0" applyNumberFormat="1" applyFont="1" applyBorder="1"/>
    <xf numFmtId="164" fontId="3" fillId="0" borderId="5" xfId="0" applyNumberFormat="1" applyFont="1" applyBorder="1"/>
    <xf numFmtId="164" fontId="10" fillId="0" borderId="0" xfId="0" applyNumberFormat="1" applyFont="1"/>
    <xf numFmtId="164" fontId="12" fillId="0" borderId="0" xfId="0" applyNumberFormat="1" applyFont="1"/>
    <xf numFmtId="164" fontId="0" fillId="2" borderId="0" xfId="0" applyNumberFormat="1" applyFill="1"/>
    <xf numFmtId="164" fontId="2" fillId="4" borderId="1" xfId="0" applyNumberFormat="1" applyFont="1" applyFill="1" applyBorder="1" applyAlignment="1">
      <alignment horizontal="right"/>
    </xf>
    <xf numFmtId="164" fontId="5" fillId="4" borderId="1" xfId="0" applyNumberFormat="1" applyFont="1" applyFill="1" applyBorder="1" applyAlignment="1">
      <alignment horizontal="right"/>
    </xf>
    <xf numFmtId="164" fontId="2" fillId="4" borderId="1" xfId="0" applyNumberFormat="1" applyFont="1" applyFill="1" applyBorder="1"/>
    <xf numFmtId="164" fontId="5" fillId="4" borderId="1" xfId="0" applyNumberFormat="1" applyFont="1" applyFill="1" applyBorder="1"/>
    <xf numFmtId="164" fontId="2" fillId="4" borderId="4" xfId="0" applyNumberFormat="1" applyFont="1" applyFill="1" applyBorder="1" applyAlignment="1">
      <alignment horizontal="right"/>
    </xf>
    <xf numFmtId="17" fontId="7" fillId="0" borderId="1" xfId="0" applyNumberFormat="1" applyFont="1" applyBorder="1"/>
    <xf numFmtId="164" fontId="4" fillId="0" borderId="0" xfId="0" applyNumberFormat="1" applyFont="1" applyFill="1" applyBorder="1"/>
    <xf numFmtId="164" fontId="9" fillId="5" borderId="7" xfId="0" applyNumberFormat="1" applyFont="1" applyFill="1" applyBorder="1" applyAlignment="1">
      <alignment horizontal="center"/>
    </xf>
    <xf numFmtId="165" fontId="0" fillId="0" borderId="1" xfId="0" applyNumberFormat="1" applyBorder="1"/>
    <xf numFmtId="164" fontId="0" fillId="0" borderId="9" xfId="0" applyNumberFormat="1" applyBorder="1"/>
    <xf numFmtId="164" fontId="0" fillId="0" borderId="8" xfId="0" applyNumberFormat="1" applyBorder="1"/>
    <xf numFmtId="164" fontId="0" fillId="2" borderId="8" xfId="0" applyNumberFormat="1" applyFill="1" applyBorder="1"/>
    <xf numFmtId="164" fontId="2" fillId="0" borderId="0" xfId="0" applyNumberFormat="1" applyFont="1" applyAlignment="1">
      <alignment horizontal="right"/>
    </xf>
    <xf numFmtId="164" fontId="0" fillId="0" borderId="0" xfId="1" applyNumberFormat="1" applyFont="1"/>
    <xf numFmtId="164" fontId="9" fillId="0" borderId="0" xfId="0" applyNumberFormat="1" applyFont="1"/>
    <xf numFmtId="164" fontId="2" fillId="0" borderId="3" xfId="0" applyNumberFormat="1" applyFont="1" applyBorder="1"/>
    <xf numFmtId="167" fontId="4" fillId="2" borderId="0" xfId="0" applyNumberFormat="1" applyFont="1" applyFill="1"/>
    <xf numFmtId="167" fontId="15" fillId="2" borderId="0" xfId="0" applyNumberFormat="1" applyFont="1" applyFill="1"/>
    <xf numFmtId="164" fontId="2" fillId="7" borderId="0" xfId="0" applyNumberFormat="1" applyFont="1" applyFill="1"/>
    <xf numFmtId="164" fontId="0" fillId="7" borderId="0" xfId="0" applyNumberFormat="1" applyFill="1"/>
    <xf numFmtId="17" fontId="0" fillId="0" borderId="3" xfId="0" applyNumberFormat="1" applyBorder="1"/>
    <xf numFmtId="164" fontId="4" fillId="2" borderId="0" xfId="0" applyNumberFormat="1" applyFont="1" applyFill="1"/>
    <xf numFmtId="164" fontId="0" fillId="8" borderId="0" xfId="0" applyNumberFormat="1" applyFill="1"/>
    <xf numFmtId="164" fontId="4" fillId="6" borderId="0" xfId="0" applyNumberFormat="1" applyFont="1" applyFill="1"/>
    <xf numFmtId="17" fontId="9" fillId="0" borderId="1" xfId="0" applyNumberFormat="1" applyFont="1" applyBorder="1"/>
    <xf numFmtId="168" fontId="0" fillId="0" borderId="1" xfId="0" applyNumberFormat="1" applyBorder="1"/>
    <xf numFmtId="169" fontId="3" fillId="0" borderId="1" xfId="1" applyNumberFormat="1" applyFont="1" applyBorder="1"/>
    <xf numFmtId="170" fontId="3" fillId="0" borderId="1" xfId="0" applyNumberFormat="1" applyFont="1" applyBorder="1"/>
    <xf numFmtId="171" fontId="0" fillId="0" borderId="1" xfId="0" applyNumberFormat="1" applyBorder="1"/>
    <xf numFmtId="171" fontId="3" fillId="0" borderId="1" xfId="0" applyNumberFormat="1" applyFont="1" applyBorder="1"/>
    <xf numFmtId="171" fontId="3" fillId="0" borderId="0" xfId="0" applyNumberFormat="1" applyFont="1" applyBorder="1"/>
    <xf numFmtId="164" fontId="16" fillId="2" borderId="0" xfId="0" applyNumberFormat="1" applyFont="1" applyFill="1"/>
    <xf numFmtId="167" fontId="16" fillId="2" borderId="0" xfId="0" applyNumberFormat="1" applyFont="1" applyFill="1"/>
    <xf numFmtId="172" fontId="3" fillId="0" borderId="1" xfId="0" applyNumberFormat="1" applyFont="1" applyFill="1" applyBorder="1"/>
    <xf numFmtId="165" fontId="2" fillId="5" borderId="1" xfId="0" applyNumberFormat="1" applyFont="1" applyFill="1" applyBorder="1"/>
    <xf numFmtId="164" fontId="2" fillId="0" borderId="0" xfId="0" applyNumberFormat="1" applyFont="1" applyBorder="1"/>
    <xf numFmtId="164" fontId="2" fillId="0" borderId="0" xfId="0" applyNumberFormat="1" applyFont="1" applyBorder="1" applyAlignment="1">
      <alignment horizontal="right"/>
    </xf>
    <xf numFmtId="164" fontId="2" fillId="8" borderId="0" xfId="0" applyNumberFormat="1" applyFont="1" applyFill="1"/>
    <xf numFmtId="164" fontId="2" fillId="0" borderId="0" xfId="0" applyNumberFormat="1" applyFont="1" applyFill="1"/>
    <xf numFmtId="10" fontId="2" fillId="0" borderId="0" xfId="1" applyNumberFormat="1" applyFont="1"/>
    <xf numFmtId="164" fontId="5" fillId="4" borderId="5" xfId="0" applyNumberFormat="1" applyFont="1" applyFill="1" applyBorder="1" applyAlignment="1">
      <alignment horizontal="right"/>
    </xf>
    <xf numFmtId="164" fontId="4" fillId="2" borderId="0" xfId="0" applyNumberFormat="1" applyFont="1" applyFill="1" applyBorder="1" applyAlignment="1">
      <alignment horizontal="left"/>
    </xf>
    <xf numFmtId="164" fontId="0" fillId="0" borderId="10" xfId="0" applyNumberFormat="1" applyBorder="1"/>
    <xf numFmtId="164" fontId="0" fillId="0" borderId="11" xfId="0" applyNumberFormat="1" applyBorder="1"/>
    <xf numFmtId="17" fontId="3" fillId="0" borderId="11" xfId="0" applyNumberFormat="1" applyFont="1" applyBorder="1"/>
    <xf numFmtId="164" fontId="2" fillId="9" borderId="4" xfId="0" applyNumberFormat="1" applyFont="1" applyFill="1" applyBorder="1" applyAlignment="1">
      <alignment horizontal="left"/>
    </xf>
    <xf numFmtId="164" fontId="2" fillId="9" borderId="11" xfId="0" applyNumberFormat="1" applyFont="1" applyFill="1" applyBorder="1" applyAlignment="1">
      <alignment horizontal="right"/>
    </xf>
    <xf numFmtId="164" fontId="2" fillId="9" borderId="2" xfId="0" applyNumberFormat="1" applyFont="1" applyFill="1" applyBorder="1" applyAlignment="1">
      <alignment horizontal="right"/>
    </xf>
    <xf numFmtId="164" fontId="2" fillId="9" borderId="1" xfId="0" applyNumberFormat="1" applyFont="1" applyFill="1" applyBorder="1" applyAlignment="1">
      <alignment horizontal="right"/>
    </xf>
    <xf numFmtId="164" fontId="5" fillId="9" borderId="1" xfId="0" applyNumberFormat="1" applyFont="1" applyFill="1" applyBorder="1" applyAlignment="1">
      <alignment horizontal="right"/>
    </xf>
    <xf numFmtId="164" fontId="2" fillId="9" borderId="6" xfId="0" applyNumberFormat="1" applyFont="1" applyFill="1" applyBorder="1" applyAlignment="1">
      <alignment horizontal="center"/>
    </xf>
    <xf numFmtId="164" fontId="2" fillId="9" borderId="12" xfId="0" applyNumberFormat="1" applyFont="1" applyFill="1" applyBorder="1" applyAlignment="1">
      <alignment horizontal="left"/>
    </xf>
    <xf numFmtId="166" fontId="9" fillId="9" borderId="2" xfId="0" applyNumberFormat="1" applyFont="1" applyFill="1" applyBorder="1" applyAlignment="1">
      <alignment horizontal="right"/>
    </xf>
    <xf numFmtId="164" fontId="5" fillId="9" borderId="2" xfId="0" applyNumberFormat="1" applyFont="1" applyFill="1" applyBorder="1" applyAlignment="1">
      <alignment horizontal="right"/>
    </xf>
    <xf numFmtId="164" fontId="17" fillId="0" borderId="1" xfId="0" applyNumberFormat="1" applyFont="1" applyBorder="1"/>
    <xf numFmtId="164" fontId="18" fillId="0" borderId="1" xfId="0" applyNumberFormat="1" applyFont="1" applyBorder="1"/>
    <xf numFmtId="17" fontId="8" fillId="9" borderId="14" xfId="0" applyNumberFormat="1" applyFont="1" applyFill="1" applyBorder="1"/>
    <xf numFmtId="164" fontId="8" fillId="9" borderId="15" xfId="0" applyNumberFormat="1" applyFont="1" applyFill="1" applyBorder="1"/>
    <xf numFmtId="17" fontId="8" fillId="9" borderId="15" xfId="0" applyNumberFormat="1" applyFont="1" applyFill="1" applyBorder="1"/>
    <xf numFmtId="164" fontId="0" fillId="9" borderId="15" xfId="0" applyNumberFormat="1" applyFill="1" applyBorder="1"/>
    <xf numFmtId="164" fontId="2" fillId="9" borderId="15" xfId="0" applyNumberFormat="1" applyFont="1" applyFill="1" applyBorder="1"/>
    <xf numFmtId="17" fontId="3" fillId="0" borderId="13" xfId="0" applyNumberFormat="1" applyFont="1" applyBorder="1"/>
    <xf numFmtId="164" fontId="3" fillId="0" borderId="16" xfId="0" applyNumberFormat="1" applyFont="1" applyBorder="1"/>
    <xf numFmtId="17" fontId="7" fillId="0" borderId="16" xfId="0" applyNumberFormat="1" applyFont="1" applyBorder="1"/>
    <xf numFmtId="164" fontId="0" fillId="0" borderId="16" xfId="0" applyNumberFormat="1" applyBorder="1"/>
    <xf numFmtId="9" fontId="0" fillId="0" borderId="16" xfId="1" applyFont="1" applyBorder="1"/>
    <xf numFmtId="164" fontId="2" fillId="9" borderId="18" xfId="0" applyNumberFormat="1" applyFont="1" applyFill="1" applyBorder="1"/>
    <xf numFmtId="164" fontId="2" fillId="9" borderId="17" xfId="0" applyNumberFormat="1" applyFont="1" applyFill="1" applyBorder="1" applyAlignment="1">
      <alignment horizontal="left"/>
    </xf>
    <xf numFmtId="164" fontId="2" fillId="9" borderId="14" xfId="0" applyNumberFormat="1" applyFont="1" applyFill="1" applyBorder="1"/>
    <xf numFmtId="164" fontId="0" fillId="0" borderId="19" xfId="0" applyNumberFormat="1" applyBorder="1"/>
    <xf numFmtId="171" fontId="0" fillId="0" borderId="16" xfId="0" applyNumberFormat="1" applyBorder="1"/>
    <xf numFmtId="164" fontId="8" fillId="9" borderId="18" xfId="0" applyNumberFormat="1" applyFont="1" applyFill="1" applyBorder="1" applyAlignment="1">
      <alignment horizontal="left"/>
    </xf>
    <xf numFmtId="9" fontId="2" fillId="9" borderId="15" xfId="1" applyFont="1" applyFill="1" applyBorder="1"/>
    <xf numFmtId="164" fontId="2" fillId="9" borderId="20" xfId="0" applyNumberFormat="1" applyFont="1" applyFill="1" applyBorder="1" applyAlignment="1">
      <alignment horizontal="center"/>
    </xf>
    <xf numFmtId="164" fontId="8" fillId="9" borderId="15" xfId="0" applyNumberFormat="1" applyFont="1" applyFill="1" applyBorder="1" applyAlignment="1">
      <alignment horizontal="left"/>
    </xf>
    <xf numFmtId="164" fontId="9" fillId="9" borderId="15" xfId="0" applyNumberFormat="1" applyFont="1" applyFill="1" applyBorder="1"/>
    <xf numFmtId="164" fontId="3" fillId="0" borderId="16" xfId="0" applyNumberFormat="1" applyFont="1" applyBorder="1" applyAlignment="1">
      <alignment horizontal="left"/>
    </xf>
    <xf numFmtId="164" fontId="17" fillId="0" borderId="16" xfId="0" applyNumberFormat="1" applyFont="1" applyBorder="1"/>
    <xf numFmtId="17" fontId="2" fillId="0" borderId="1" xfId="0" applyNumberFormat="1" applyFont="1" applyBorder="1"/>
    <xf numFmtId="164" fontId="0" fillId="4" borderId="21" xfId="0" applyNumberFormat="1" applyFill="1" applyBorder="1"/>
    <xf numFmtId="164" fontId="2" fillId="4" borderId="22" xfId="0" applyNumberFormat="1" applyFont="1" applyFill="1" applyBorder="1"/>
    <xf numFmtId="164" fontId="0" fillId="4" borderId="22" xfId="0" applyNumberFormat="1" applyFill="1" applyBorder="1"/>
    <xf numFmtId="164" fontId="0" fillId="4" borderId="23" xfId="0" applyNumberFormat="1" applyFill="1" applyBorder="1"/>
    <xf numFmtId="164" fontId="0" fillId="4" borderId="24" xfId="0" applyNumberFormat="1" applyFill="1" applyBorder="1"/>
    <xf numFmtId="164" fontId="2" fillId="4" borderId="0" xfId="0" applyNumberFormat="1" applyFont="1" applyFill="1" applyBorder="1"/>
    <xf numFmtId="164" fontId="0" fillId="4" borderId="0" xfId="0" applyNumberFormat="1" applyFill="1" applyBorder="1"/>
    <xf numFmtId="9" fontId="0" fillId="4" borderId="0" xfId="1" applyFont="1" applyFill="1" applyBorder="1"/>
    <xf numFmtId="9" fontId="0" fillId="4" borderId="25" xfId="1" applyFont="1" applyFill="1" applyBorder="1"/>
    <xf numFmtId="164" fontId="0" fillId="4" borderId="25" xfId="0" applyNumberFormat="1" applyFill="1" applyBorder="1"/>
    <xf numFmtId="164" fontId="7" fillId="4" borderId="0" xfId="1" applyNumberFormat="1" applyFont="1" applyFill="1" applyBorder="1"/>
    <xf numFmtId="164" fontId="7" fillId="4" borderId="25" xfId="1" applyNumberFormat="1" applyFont="1" applyFill="1" applyBorder="1"/>
    <xf numFmtId="164" fontId="0" fillId="4" borderId="0" xfId="1" applyNumberFormat="1" applyFont="1" applyFill="1" applyBorder="1"/>
    <xf numFmtId="164" fontId="0" fillId="4" borderId="25" xfId="1" applyNumberFormat="1" applyFont="1" applyFill="1" applyBorder="1"/>
    <xf numFmtId="10" fontId="0" fillId="4" borderId="0" xfId="1" applyNumberFormat="1" applyFont="1" applyFill="1" applyBorder="1"/>
    <xf numFmtId="10" fontId="0" fillId="4" borderId="25" xfId="1" applyNumberFormat="1" applyFont="1" applyFill="1" applyBorder="1"/>
    <xf numFmtId="164" fontId="2" fillId="4" borderId="26" xfId="0" applyNumberFormat="1" applyFont="1" applyFill="1" applyBorder="1"/>
    <xf numFmtId="164" fontId="2" fillId="4" borderId="27" xfId="0" applyNumberFormat="1" applyFont="1" applyFill="1" applyBorder="1"/>
    <xf numFmtId="164" fontId="2" fillId="4" borderId="27" xfId="1" applyNumberFormat="1" applyFont="1" applyFill="1" applyBorder="1"/>
    <xf numFmtId="164" fontId="0" fillId="4" borderId="27" xfId="1" applyNumberFormat="1" applyFont="1" applyFill="1" applyBorder="1"/>
    <xf numFmtId="164" fontId="0" fillId="4" borderId="14" xfId="1" applyNumberFormat="1" applyFont="1" applyFill="1" applyBorder="1"/>
    <xf numFmtId="164" fontId="5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/>
    <xf numFmtId="164" fontId="2" fillId="0" borderId="0" xfId="0" applyNumberFormat="1" applyFont="1" applyFill="1" applyBorder="1" applyAlignment="1">
      <alignment horizontal="right"/>
    </xf>
    <xf numFmtId="164" fontId="0" fillId="0" borderId="0" xfId="0" applyNumberFormat="1" applyFill="1" applyBorder="1"/>
    <xf numFmtId="164" fontId="2" fillId="0" borderId="0" xfId="0" applyNumberFormat="1" applyFont="1" applyFill="1" applyBorder="1"/>
  </cellXfs>
  <cellStyles count="2">
    <cellStyle name="Normal" xfId="0" builtinId="0"/>
    <cellStyle name="Percent" xfId="1" builtinId="5"/>
  </cellStyles>
  <dxfs count="1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997324</xdr:colOff>
      <xdr:row>1</xdr:row>
      <xdr:rowOff>201705</xdr:rowOff>
    </xdr:from>
    <xdr:to>
      <xdr:col>4</xdr:col>
      <xdr:colOff>687481</xdr:colOff>
      <xdr:row>4</xdr:row>
      <xdr:rowOff>174524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2F7E033-BE1B-495C-9177-E841CC3FF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1000" y="392205"/>
          <a:ext cx="1752040" cy="5555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2454088</xdr:colOff>
      <xdr:row>5</xdr:row>
      <xdr:rowOff>10510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4309D4B-E50C-4CD3-86B0-51B650122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3059206" cy="9742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F0DD3-E3A6-4CD6-93C9-0DFE16FD7CB8}">
  <dimension ref="B2:BG128"/>
  <sheetViews>
    <sheetView showZeros="0" tabSelected="1" zoomScale="85" zoomScaleNormal="85" workbookViewId="0">
      <pane ySplit="5" topLeftCell="A6" activePane="bottomLeft" state="frozen"/>
      <selection pane="bottomLeft" activeCell="C3" sqref="C3"/>
    </sheetView>
  </sheetViews>
  <sheetFormatPr defaultRowHeight="15" x14ac:dyDescent="0.25"/>
  <cols>
    <col min="1" max="1" width="9.140625" style="1"/>
    <col min="2" max="2" width="38.85546875" style="1" customWidth="1"/>
    <col min="3" max="3" width="15.140625" style="1" customWidth="1"/>
    <col min="4" max="4" width="15.7109375" style="1" customWidth="1"/>
    <col min="5" max="5" width="14.5703125" style="1" customWidth="1"/>
    <col min="6" max="6" width="9.140625" style="33"/>
    <col min="7" max="7" width="9.140625" style="1"/>
    <col min="8" max="8" width="35.85546875" style="1" customWidth="1"/>
    <col min="9" max="9" width="18.7109375" style="2" customWidth="1"/>
    <col min="10" max="10" width="10.42578125" style="1" customWidth="1"/>
    <col min="11" max="55" width="12.28515625" style="1" customWidth="1"/>
    <col min="56" max="16384" width="9.140625" style="1"/>
  </cols>
  <sheetData>
    <row r="2" spans="2:59" ht="15.75" x14ac:dyDescent="0.25">
      <c r="H2" s="21" t="s">
        <v>157</v>
      </c>
    </row>
    <row r="3" spans="2:59" x14ac:dyDescent="0.25">
      <c r="H3" s="37" t="s">
        <v>158</v>
      </c>
    </row>
    <row r="4" spans="2:59" x14ac:dyDescent="0.25">
      <c r="H4" s="2" t="s">
        <v>159</v>
      </c>
    </row>
    <row r="5" spans="2:59" x14ac:dyDescent="0.25">
      <c r="H5" s="58"/>
      <c r="I5" s="35" t="s">
        <v>23</v>
      </c>
      <c r="J5" s="59"/>
      <c r="K5" s="101">
        <v>44197</v>
      </c>
      <c r="L5" s="101">
        <f>EDATE(K5,1)</f>
        <v>44228</v>
      </c>
      <c r="M5" s="101">
        <f t="shared" ref="M5:BC5" si="0">EDATE(L5,1)</f>
        <v>44256</v>
      </c>
      <c r="N5" s="101">
        <f t="shared" si="0"/>
        <v>44287</v>
      </c>
      <c r="O5" s="101">
        <f t="shared" si="0"/>
        <v>44317</v>
      </c>
      <c r="P5" s="101">
        <f t="shared" si="0"/>
        <v>44348</v>
      </c>
      <c r="Q5" s="101">
        <f t="shared" si="0"/>
        <v>44378</v>
      </c>
      <c r="R5" s="101">
        <f t="shared" si="0"/>
        <v>44409</v>
      </c>
      <c r="S5" s="101">
        <f t="shared" si="0"/>
        <v>44440</v>
      </c>
      <c r="T5" s="101">
        <f t="shared" si="0"/>
        <v>44470</v>
      </c>
      <c r="U5" s="101">
        <f t="shared" si="0"/>
        <v>44501</v>
      </c>
      <c r="V5" s="101">
        <f t="shared" si="0"/>
        <v>44531</v>
      </c>
      <c r="W5" s="101">
        <f t="shared" si="0"/>
        <v>44562</v>
      </c>
      <c r="X5" s="101">
        <f t="shared" si="0"/>
        <v>44593</v>
      </c>
      <c r="Y5" s="101">
        <f t="shared" si="0"/>
        <v>44621</v>
      </c>
      <c r="Z5" s="101">
        <f t="shared" si="0"/>
        <v>44652</v>
      </c>
      <c r="AA5" s="101">
        <f t="shared" si="0"/>
        <v>44682</v>
      </c>
      <c r="AB5" s="101">
        <f t="shared" si="0"/>
        <v>44713</v>
      </c>
      <c r="AC5" s="101">
        <f t="shared" si="0"/>
        <v>44743</v>
      </c>
      <c r="AD5" s="101">
        <f t="shared" si="0"/>
        <v>44774</v>
      </c>
      <c r="AE5" s="101">
        <f t="shared" si="0"/>
        <v>44805</v>
      </c>
      <c r="AF5" s="101">
        <f t="shared" si="0"/>
        <v>44835</v>
      </c>
      <c r="AG5" s="101">
        <f t="shared" si="0"/>
        <v>44866</v>
      </c>
      <c r="AH5" s="101">
        <f t="shared" si="0"/>
        <v>44896</v>
      </c>
      <c r="AI5" s="101">
        <f t="shared" si="0"/>
        <v>44927</v>
      </c>
      <c r="AJ5" s="101">
        <f t="shared" si="0"/>
        <v>44958</v>
      </c>
      <c r="AK5" s="101">
        <f t="shared" si="0"/>
        <v>44986</v>
      </c>
      <c r="AL5" s="101">
        <f t="shared" si="0"/>
        <v>45017</v>
      </c>
      <c r="AM5" s="101">
        <f t="shared" si="0"/>
        <v>45047</v>
      </c>
      <c r="AN5" s="101">
        <f t="shared" si="0"/>
        <v>45078</v>
      </c>
      <c r="AO5" s="101">
        <f t="shared" si="0"/>
        <v>45108</v>
      </c>
      <c r="AP5" s="101">
        <f t="shared" si="0"/>
        <v>45139</v>
      </c>
      <c r="AQ5" s="101">
        <f t="shared" si="0"/>
        <v>45170</v>
      </c>
      <c r="AR5" s="101">
        <f t="shared" si="0"/>
        <v>45200</v>
      </c>
      <c r="AS5" s="101">
        <f t="shared" si="0"/>
        <v>45231</v>
      </c>
      <c r="AT5" s="101">
        <f t="shared" si="0"/>
        <v>45261</v>
      </c>
      <c r="AU5" s="101">
        <f t="shared" si="0"/>
        <v>45292</v>
      </c>
      <c r="AV5" s="101">
        <f t="shared" si="0"/>
        <v>45323</v>
      </c>
      <c r="AW5" s="101">
        <f t="shared" si="0"/>
        <v>45352</v>
      </c>
      <c r="AX5" s="101">
        <f t="shared" si="0"/>
        <v>45383</v>
      </c>
      <c r="AY5" s="101">
        <f t="shared" si="0"/>
        <v>45413</v>
      </c>
      <c r="AZ5" s="101">
        <f t="shared" si="0"/>
        <v>45444</v>
      </c>
      <c r="BA5" s="101">
        <f t="shared" si="0"/>
        <v>45474</v>
      </c>
      <c r="BB5" s="101">
        <f t="shared" si="0"/>
        <v>45505</v>
      </c>
      <c r="BC5" s="101">
        <f t="shared" si="0"/>
        <v>45536</v>
      </c>
    </row>
    <row r="6" spans="2:59" s="15" customFormat="1" ht="19.5" thickBot="1" x14ac:dyDescent="0.35">
      <c r="B6" s="16" t="s">
        <v>64</v>
      </c>
      <c r="F6" s="32"/>
      <c r="H6" s="16" t="s">
        <v>65</v>
      </c>
      <c r="I6" s="38"/>
      <c r="BD6" s="43"/>
      <c r="BE6" s="43"/>
      <c r="BF6" s="43"/>
      <c r="BG6" s="43"/>
    </row>
    <row r="8" spans="2:59" ht="15.75" x14ac:dyDescent="0.25">
      <c r="B8" s="44" t="s">
        <v>64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</row>
    <row r="10" spans="2:59" x14ac:dyDescent="0.25">
      <c r="B10" s="8" t="s">
        <v>31</v>
      </c>
      <c r="C10" s="8"/>
      <c r="D10" s="8"/>
      <c r="E10" s="8" t="s">
        <v>66</v>
      </c>
      <c r="I10" s="35"/>
    </row>
    <row r="11" spans="2:59" x14ac:dyDescent="0.25">
      <c r="B11" s="5" t="s">
        <v>51</v>
      </c>
      <c r="C11" s="5"/>
      <c r="D11" s="5"/>
      <c r="E11" s="5">
        <f>'Accom_Phase Schedule'!M53*12</f>
        <v>1428000</v>
      </c>
      <c r="H11" s="45" t="str">
        <f>B11</f>
        <v>Phase 1</v>
      </c>
      <c r="I11" s="60">
        <f>SUM(K11:BC11)</f>
        <v>3892581.02991453</v>
      </c>
      <c r="J11" s="45"/>
      <c r="K11" s="45">
        <f t="shared" ref="K11:BC11" si="1">($E11/12)*K108*K120</f>
        <v>0</v>
      </c>
      <c r="L11" s="45">
        <f t="shared" si="1"/>
        <v>0</v>
      </c>
      <c r="M11" s="45">
        <f t="shared" si="1"/>
        <v>0</v>
      </c>
      <c r="N11" s="45">
        <f t="shared" si="1"/>
        <v>0</v>
      </c>
      <c r="O11" s="45">
        <f t="shared" si="1"/>
        <v>0</v>
      </c>
      <c r="P11" s="45">
        <f t="shared" si="1"/>
        <v>0</v>
      </c>
      <c r="Q11" s="45">
        <f t="shared" si="1"/>
        <v>0</v>
      </c>
      <c r="R11" s="45">
        <f t="shared" si="1"/>
        <v>0</v>
      </c>
      <c r="S11" s="45">
        <f t="shared" si="1"/>
        <v>30411.111111111109</v>
      </c>
      <c r="T11" s="45">
        <f t="shared" si="1"/>
        <v>60822.222222222219</v>
      </c>
      <c r="U11" s="45">
        <f t="shared" si="1"/>
        <v>91233.333333333343</v>
      </c>
      <c r="V11" s="45">
        <f t="shared" si="1"/>
        <v>116355.55555555555</v>
      </c>
      <c r="W11" s="45">
        <f t="shared" si="1"/>
        <v>116355.55555555555</v>
      </c>
      <c r="X11" s="45">
        <f t="shared" si="1"/>
        <v>116355.55555555555</v>
      </c>
      <c r="Y11" s="45">
        <f t="shared" si="1"/>
        <v>116355.55555555555</v>
      </c>
      <c r="Z11" s="45">
        <f t="shared" si="1"/>
        <v>116355.55555555555</v>
      </c>
      <c r="AA11" s="45">
        <f t="shared" si="1"/>
        <v>116355.55555555555</v>
      </c>
      <c r="AB11" s="45">
        <f t="shared" si="1"/>
        <v>116355.55555555555</v>
      </c>
      <c r="AC11" s="45">
        <f t="shared" si="1"/>
        <v>116355.55555555555</v>
      </c>
      <c r="AD11" s="45">
        <f t="shared" si="1"/>
        <v>116355.55555555555</v>
      </c>
      <c r="AE11" s="45">
        <f t="shared" si="1"/>
        <v>115603.41452991453</v>
      </c>
      <c r="AF11" s="45">
        <f t="shared" si="1"/>
        <v>119846.22222222222</v>
      </c>
      <c r="AG11" s="45">
        <f t="shared" si="1"/>
        <v>119846.22222222222</v>
      </c>
      <c r="AH11" s="45">
        <f t="shared" si="1"/>
        <v>119846.22222222222</v>
      </c>
      <c r="AI11" s="45">
        <f t="shared" si="1"/>
        <v>119846.22222222222</v>
      </c>
      <c r="AJ11" s="45">
        <f t="shared" si="1"/>
        <v>119846.22222222222</v>
      </c>
      <c r="AK11" s="45">
        <f t="shared" si="1"/>
        <v>119846.22222222222</v>
      </c>
      <c r="AL11" s="45">
        <f t="shared" si="1"/>
        <v>119846.22222222222</v>
      </c>
      <c r="AM11" s="45">
        <f t="shared" si="1"/>
        <v>119846.22222222222</v>
      </c>
      <c r="AN11" s="45">
        <f t="shared" si="1"/>
        <v>119846.22222222222</v>
      </c>
      <c r="AO11" s="45">
        <f t="shared" si="1"/>
        <v>119846.22222222222</v>
      </c>
      <c r="AP11" s="45">
        <f t="shared" si="1"/>
        <v>119846.22222222222</v>
      </c>
      <c r="AQ11" s="45">
        <f t="shared" si="1"/>
        <v>118970.50427350427</v>
      </c>
      <c r="AR11" s="45">
        <f t="shared" si="1"/>
        <v>123336.88888888889</v>
      </c>
      <c r="AS11" s="45">
        <f t="shared" si="1"/>
        <v>123336.88888888889</v>
      </c>
      <c r="AT11" s="45">
        <f t="shared" si="1"/>
        <v>123336.88888888889</v>
      </c>
      <c r="AU11" s="45">
        <f t="shared" si="1"/>
        <v>123336.88888888889</v>
      </c>
      <c r="AV11" s="45">
        <f t="shared" si="1"/>
        <v>123336.88888888889</v>
      </c>
      <c r="AW11" s="45">
        <f t="shared" si="1"/>
        <v>123336.88888888889</v>
      </c>
      <c r="AX11" s="45">
        <f t="shared" si="1"/>
        <v>123336.88888888889</v>
      </c>
      <c r="AY11" s="45">
        <f t="shared" si="1"/>
        <v>123336.88888888889</v>
      </c>
      <c r="AZ11" s="45">
        <f t="shared" si="1"/>
        <v>123336.88888888889</v>
      </c>
      <c r="BA11" s="45">
        <f t="shared" si="1"/>
        <v>0</v>
      </c>
      <c r="BB11" s="45">
        <f t="shared" si="1"/>
        <v>0</v>
      </c>
      <c r="BC11" s="45">
        <f t="shared" si="1"/>
        <v>0</v>
      </c>
    </row>
    <row r="12" spans="2:59" x14ac:dyDescent="0.25">
      <c r="B12" s="5" t="s">
        <v>52</v>
      </c>
      <c r="C12" s="5"/>
      <c r="D12" s="5"/>
      <c r="E12" s="5">
        <f>'Accom_Phase Schedule'!M54*12</f>
        <v>2088000</v>
      </c>
      <c r="H12" s="10" t="str">
        <f>B12</f>
        <v>Phase 2</v>
      </c>
      <c r="I12" s="61">
        <f t="shared" ref="I12:I15" si="2">SUM(K12:BC12)</f>
        <v>4930313.051282051</v>
      </c>
      <c r="J12" s="10"/>
      <c r="K12" s="10">
        <f t="shared" ref="K12:BC12" si="3">($E12/12)*K109*K121</f>
        <v>0</v>
      </c>
      <c r="L12" s="10">
        <f t="shared" si="3"/>
        <v>0</v>
      </c>
      <c r="M12" s="10">
        <f t="shared" si="3"/>
        <v>0</v>
      </c>
      <c r="N12" s="10">
        <f t="shared" si="3"/>
        <v>0</v>
      </c>
      <c r="O12" s="10">
        <f t="shared" si="3"/>
        <v>0</v>
      </c>
      <c r="P12" s="10">
        <f t="shared" si="3"/>
        <v>0</v>
      </c>
      <c r="Q12" s="10">
        <f t="shared" si="3"/>
        <v>0</v>
      </c>
      <c r="R12" s="10">
        <f t="shared" si="3"/>
        <v>0</v>
      </c>
      <c r="S12" s="10">
        <f t="shared" si="3"/>
        <v>0</v>
      </c>
      <c r="T12" s="10">
        <f t="shared" si="3"/>
        <v>0</v>
      </c>
      <c r="U12" s="10">
        <f t="shared" si="3"/>
        <v>0</v>
      </c>
      <c r="V12" s="10">
        <f t="shared" si="3"/>
        <v>0</v>
      </c>
      <c r="W12" s="10">
        <f t="shared" si="3"/>
        <v>0</v>
      </c>
      <c r="X12" s="10">
        <f t="shared" si="3"/>
        <v>45800.666666666664</v>
      </c>
      <c r="Y12" s="10">
        <f t="shared" si="3"/>
        <v>91601.333333333328</v>
      </c>
      <c r="Z12" s="10">
        <f t="shared" si="3"/>
        <v>137402</v>
      </c>
      <c r="AA12" s="10">
        <f t="shared" si="3"/>
        <v>175237.33333333331</v>
      </c>
      <c r="AB12" s="10">
        <f t="shared" si="3"/>
        <v>175237.33333333331</v>
      </c>
      <c r="AC12" s="10">
        <f t="shared" si="3"/>
        <v>175237.33333333331</v>
      </c>
      <c r="AD12" s="10">
        <f t="shared" si="3"/>
        <v>175237.33333333331</v>
      </c>
      <c r="AE12" s="10">
        <f t="shared" si="3"/>
        <v>175237.33333333331</v>
      </c>
      <c r="AF12" s="10">
        <f t="shared" si="3"/>
        <v>175237.33333333331</v>
      </c>
      <c r="AG12" s="10">
        <f t="shared" si="3"/>
        <v>175237.33333333331</v>
      </c>
      <c r="AH12" s="10">
        <f t="shared" si="3"/>
        <v>175237.33333333331</v>
      </c>
      <c r="AI12" s="10">
        <f t="shared" si="3"/>
        <v>175237.33333333331</v>
      </c>
      <c r="AJ12" s="10">
        <f t="shared" si="3"/>
        <v>173956.87179487178</v>
      </c>
      <c r="AK12" s="10">
        <f t="shared" si="3"/>
        <v>180341.33333333331</v>
      </c>
      <c r="AL12" s="10">
        <f t="shared" si="3"/>
        <v>180341.33333333331</v>
      </c>
      <c r="AM12" s="10">
        <f t="shared" si="3"/>
        <v>180341.33333333331</v>
      </c>
      <c r="AN12" s="10">
        <f t="shared" si="3"/>
        <v>180341.33333333331</v>
      </c>
      <c r="AO12" s="10">
        <f t="shared" si="3"/>
        <v>180341.33333333331</v>
      </c>
      <c r="AP12" s="10">
        <f t="shared" si="3"/>
        <v>180341.33333333331</v>
      </c>
      <c r="AQ12" s="10">
        <f t="shared" si="3"/>
        <v>180341.33333333331</v>
      </c>
      <c r="AR12" s="10">
        <f t="shared" si="3"/>
        <v>180341.33333333331</v>
      </c>
      <c r="AS12" s="10">
        <f t="shared" si="3"/>
        <v>180341.33333333331</v>
      </c>
      <c r="AT12" s="10">
        <f t="shared" si="3"/>
        <v>180341.33333333331</v>
      </c>
      <c r="AU12" s="10">
        <f t="shared" si="3"/>
        <v>180341.33333333331</v>
      </c>
      <c r="AV12" s="10">
        <f t="shared" si="3"/>
        <v>178880.17948717947</v>
      </c>
      <c r="AW12" s="10">
        <f t="shared" si="3"/>
        <v>185445.33333333331</v>
      </c>
      <c r="AX12" s="10">
        <f t="shared" si="3"/>
        <v>185445.33333333331</v>
      </c>
      <c r="AY12" s="10">
        <f t="shared" si="3"/>
        <v>185445.33333333331</v>
      </c>
      <c r="AZ12" s="10">
        <f t="shared" si="3"/>
        <v>185445.33333333331</v>
      </c>
      <c r="BA12" s="10">
        <f t="shared" si="3"/>
        <v>0</v>
      </c>
      <c r="BB12" s="10">
        <f t="shared" si="3"/>
        <v>0</v>
      </c>
      <c r="BC12" s="10">
        <f t="shared" si="3"/>
        <v>0</v>
      </c>
    </row>
    <row r="13" spans="2:59" x14ac:dyDescent="0.25">
      <c r="B13" s="5" t="s">
        <v>53</v>
      </c>
      <c r="C13" s="5"/>
      <c r="D13" s="5"/>
      <c r="E13" s="5">
        <f>'Accom_Phase Schedule'!M55*12</f>
        <v>2880000</v>
      </c>
      <c r="H13" s="45" t="str">
        <f>B13</f>
        <v>Phase 3</v>
      </c>
      <c r="I13" s="60">
        <f t="shared" si="2"/>
        <v>5530553.8461538469</v>
      </c>
      <c r="J13" s="45"/>
      <c r="K13" s="45">
        <f t="shared" ref="K13:BC13" si="4">($E13/12)*K110*K122</f>
        <v>0</v>
      </c>
      <c r="L13" s="45">
        <f t="shared" si="4"/>
        <v>0</v>
      </c>
      <c r="M13" s="45">
        <f t="shared" si="4"/>
        <v>0</v>
      </c>
      <c r="N13" s="45">
        <f t="shared" si="4"/>
        <v>0</v>
      </c>
      <c r="O13" s="45">
        <f t="shared" si="4"/>
        <v>0</v>
      </c>
      <c r="P13" s="45">
        <f t="shared" si="4"/>
        <v>0</v>
      </c>
      <c r="Q13" s="45">
        <f t="shared" si="4"/>
        <v>0</v>
      </c>
      <c r="R13" s="45">
        <f t="shared" si="4"/>
        <v>0</v>
      </c>
      <c r="S13" s="45">
        <f t="shared" si="4"/>
        <v>0</v>
      </c>
      <c r="T13" s="45">
        <f t="shared" si="4"/>
        <v>0</v>
      </c>
      <c r="U13" s="45">
        <f t="shared" si="4"/>
        <v>0</v>
      </c>
      <c r="V13" s="45">
        <f t="shared" si="4"/>
        <v>0</v>
      </c>
      <c r="W13" s="45">
        <f t="shared" si="4"/>
        <v>0</v>
      </c>
      <c r="X13" s="45">
        <f t="shared" si="4"/>
        <v>0</v>
      </c>
      <c r="Y13" s="45">
        <f t="shared" si="4"/>
        <v>0</v>
      </c>
      <c r="Z13" s="45">
        <f t="shared" si="4"/>
        <v>0</v>
      </c>
      <c r="AA13" s="45">
        <f t="shared" si="4"/>
        <v>0</v>
      </c>
      <c r="AB13" s="45">
        <f t="shared" si="4"/>
        <v>0</v>
      </c>
      <c r="AC13" s="45">
        <f t="shared" si="4"/>
        <v>63173.333333333328</v>
      </c>
      <c r="AD13" s="45">
        <f t="shared" si="4"/>
        <v>126346.66666666666</v>
      </c>
      <c r="AE13" s="45">
        <f t="shared" si="4"/>
        <v>189520</v>
      </c>
      <c r="AF13" s="45">
        <f t="shared" si="4"/>
        <v>241706.66666666666</v>
      </c>
      <c r="AG13" s="45">
        <f t="shared" si="4"/>
        <v>241706.66666666666</v>
      </c>
      <c r="AH13" s="45">
        <f t="shared" si="4"/>
        <v>241706.66666666666</v>
      </c>
      <c r="AI13" s="45">
        <f t="shared" si="4"/>
        <v>241706.66666666666</v>
      </c>
      <c r="AJ13" s="45">
        <f t="shared" si="4"/>
        <v>241706.66666666666</v>
      </c>
      <c r="AK13" s="45">
        <f t="shared" si="4"/>
        <v>241706.66666666666</v>
      </c>
      <c r="AL13" s="45">
        <f t="shared" si="4"/>
        <v>241706.66666666666</v>
      </c>
      <c r="AM13" s="45">
        <f t="shared" si="4"/>
        <v>241706.66666666666</v>
      </c>
      <c r="AN13" s="45">
        <f t="shared" si="4"/>
        <v>241706.66666666666</v>
      </c>
      <c r="AO13" s="45">
        <f t="shared" si="4"/>
        <v>239940.51282051281</v>
      </c>
      <c r="AP13" s="45">
        <f t="shared" si="4"/>
        <v>248746.66666666666</v>
      </c>
      <c r="AQ13" s="45">
        <f t="shared" si="4"/>
        <v>248746.66666666666</v>
      </c>
      <c r="AR13" s="45">
        <f t="shared" si="4"/>
        <v>248746.66666666666</v>
      </c>
      <c r="AS13" s="45">
        <f t="shared" si="4"/>
        <v>248746.66666666666</v>
      </c>
      <c r="AT13" s="45">
        <f t="shared" si="4"/>
        <v>248746.66666666666</v>
      </c>
      <c r="AU13" s="45">
        <f t="shared" si="4"/>
        <v>248746.66666666666</v>
      </c>
      <c r="AV13" s="45">
        <f t="shared" si="4"/>
        <v>248746.66666666666</v>
      </c>
      <c r="AW13" s="45">
        <f t="shared" si="4"/>
        <v>248746.66666666666</v>
      </c>
      <c r="AX13" s="45">
        <f t="shared" si="4"/>
        <v>248746.66666666666</v>
      </c>
      <c r="AY13" s="45">
        <f t="shared" si="4"/>
        <v>248746.66666666666</v>
      </c>
      <c r="AZ13" s="45">
        <f t="shared" si="4"/>
        <v>248746.66666666666</v>
      </c>
      <c r="BA13" s="45">
        <f t="shared" si="4"/>
        <v>0</v>
      </c>
      <c r="BB13" s="45">
        <f t="shared" si="4"/>
        <v>0</v>
      </c>
      <c r="BC13" s="45">
        <f t="shared" si="4"/>
        <v>0</v>
      </c>
    </row>
    <row r="14" spans="2:59" x14ac:dyDescent="0.25">
      <c r="B14" s="5" t="s">
        <v>54</v>
      </c>
      <c r="C14" s="5"/>
      <c r="D14" s="5"/>
      <c r="E14" s="5">
        <f>'Accom_Phase Schedule'!M56*12</f>
        <v>2388000</v>
      </c>
      <c r="H14" s="10" t="str">
        <f>B14</f>
        <v>Phase 4</v>
      </c>
      <c r="I14" s="61">
        <f t="shared" si="2"/>
        <v>3409926.230769231</v>
      </c>
      <c r="J14" s="10"/>
      <c r="K14" s="10">
        <f t="shared" ref="K14:BC14" si="5">($E14/12)*K111*K123</f>
        <v>0</v>
      </c>
      <c r="L14" s="10">
        <f t="shared" si="5"/>
        <v>0</v>
      </c>
      <c r="M14" s="10">
        <f t="shared" si="5"/>
        <v>0</v>
      </c>
      <c r="N14" s="10">
        <f t="shared" si="5"/>
        <v>0</v>
      </c>
      <c r="O14" s="10">
        <f t="shared" si="5"/>
        <v>0</v>
      </c>
      <c r="P14" s="10">
        <f t="shared" si="5"/>
        <v>0</v>
      </c>
      <c r="Q14" s="10">
        <f t="shared" si="5"/>
        <v>0</v>
      </c>
      <c r="R14" s="10">
        <f t="shared" si="5"/>
        <v>0</v>
      </c>
      <c r="S14" s="10">
        <f t="shared" si="5"/>
        <v>0</v>
      </c>
      <c r="T14" s="10">
        <f t="shared" si="5"/>
        <v>0</v>
      </c>
      <c r="U14" s="10">
        <f t="shared" si="5"/>
        <v>0</v>
      </c>
      <c r="V14" s="10">
        <f t="shared" si="5"/>
        <v>0</v>
      </c>
      <c r="W14" s="10">
        <f t="shared" si="5"/>
        <v>0</v>
      </c>
      <c r="X14" s="10">
        <f t="shared" si="5"/>
        <v>0</v>
      </c>
      <c r="Y14" s="10">
        <f t="shared" si="5"/>
        <v>0</v>
      </c>
      <c r="Z14" s="10">
        <f t="shared" si="5"/>
        <v>0</v>
      </c>
      <c r="AA14" s="10">
        <f t="shared" si="5"/>
        <v>0</v>
      </c>
      <c r="AB14" s="10">
        <f t="shared" si="5"/>
        <v>0</v>
      </c>
      <c r="AC14" s="10">
        <f t="shared" si="5"/>
        <v>0</v>
      </c>
      <c r="AD14" s="10">
        <f t="shared" si="5"/>
        <v>0</v>
      </c>
      <c r="AE14" s="10">
        <f t="shared" si="5"/>
        <v>0</v>
      </c>
      <c r="AF14" s="10">
        <f t="shared" si="5"/>
        <v>0</v>
      </c>
      <c r="AG14" s="10">
        <f t="shared" si="5"/>
        <v>0</v>
      </c>
      <c r="AH14" s="10">
        <f t="shared" si="5"/>
        <v>0</v>
      </c>
      <c r="AI14" s="10">
        <f t="shared" si="5"/>
        <v>53906.888888888883</v>
      </c>
      <c r="AJ14" s="10">
        <f t="shared" si="5"/>
        <v>107813.77777777777</v>
      </c>
      <c r="AK14" s="10">
        <f t="shared" si="5"/>
        <v>161720.66666666669</v>
      </c>
      <c r="AL14" s="10">
        <f t="shared" si="5"/>
        <v>206252.44444444444</v>
      </c>
      <c r="AM14" s="10">
        <f t="shared" si="5"/>
        <v>206252.44444444444</v>
      </c>
      <c r="AN14" s="10">
        <f t="shared" si="5"/>
        <v>206252.44444444444</v>
      </c>
      <c r="AO14" s="10">
        <f t="shared" si="5"/>
        <v>206252.44444444444</v>
      </c>
      <c r="AP14" s="10">
        <f t="shared" si="5"/>
        <v>206252.44444444444</v>
      </c>
      <c r="AQ14" s="10">
        <f t="shared" si="5"/>
        <v>206252.44444444444</v>
      </c>
      <c r="AR14" s="10">
        <f t="shared" si="5"/>
        <v>206252.44444444444</v>
      </c>
      <c r="AS14" s="10">
        <f t="shared" si="5"/>
        <v>206252.44444444444</v>
      </c>
      <c r="AT14" s="10">
        <f t="shared" si="5"/>
        <v>206252.44444444444</v>
      </c>
      <c r="AU14" s="10">
        <f t="shared" si="5"/>
        <v>198950.67521367522</v>
      </c>
      <c r="AV14" s="10">
        <f t="shared" si="5"/>
        <v>206252.44444444444</v>
      </c>
      <c r="AW14" s="10">
        <f t="shared" si="5"/>
        <v>206252.44444444444</v>
      </c>
      <c r="AX14" s="10">
        <f t="shared" si="5"/>
        <v>206252.44444444444</v>
      </c>
      <c r="AY14" s="10">
        <f t="shared" si="5"/>
        <v>206252.44444444444</v>
      </c>
      <c r="AZ14" s="10">
        <f t="shared" si="5"/>
        <v>206252.44444444444</v>
      </c>
      <c r="BA14" s="10">
        <f t="shared" si="5"/>
        <v>0</v>
      </c>
      <c r="BB14" s="10">
        <f t="shared" si="5"/>
        <v>0</v>
      </c>
      <c r="BC14" s="10">
        <f t="shared" si="5"/>
        <v>0</v>
      </c>
    </row>
    <row r="15" spans="2:59" x14ac:dyDescent="0.25">
      <c r="B15" s="5" t="s">
        <v>55</v>
      </c>
      <c r="C15" s="5"/>
      <c r="D15" s="5"/>
      <c r="E15" s="5">
        <f>'Accom_Phase Schedule'!M57*12</f>
        <v>2160000</v>
      </c>
      <c r="H15" s="45" t="str">
        <f>B15</f>
        <v>Phase 5</v>
      </c>
      <c r="I15" s="60">
        <f t="shared" si="2"/>
        <v>1971600</v>
      </c>
      <c r="J15" s="45"/>
      <c r="K15" s="45">
        <f t="shared" ref="K15:BC15" si="6">($E15/12)*K112*K124</f>
        <v>0</v>
      </c>
      <c r="L15" s="45">
        <f t="shared" si="6"/>
        <v>0</v>
      </c>
      <c r="M15" s="45">
        <f t="shared" si="6"/>
        <v>0</v>
      </c>
      <c r="N15" s="45">
        <f t="shared" si="6"/>
        <v>0</v>
      </c>
      <c r="O15" s="45">
        <f t="shared" si="6"/>
        <v>0</v>
      </c>
      <c r="P15" s="45">
        <f t="shared" si="6"/>
        <v>0</v>
      </c>
      <c r="Q15" s="45">
        <f t="shared" si="6"/>
        <v>0</v>
      </c>
      <c r="R15" s="45">
        <f t="shared" si="6"/>
        <v>0</v>
      </c>
      <c r="S15" s="45">
        <f t="shared" si="6"/>
        <v>0</v>
      </c>
      <c r="T15" s="45">
        <f t="shared" si="6"/>
        <v>0</v>
      </c>
      <c r="U15" s="45">
        <f t="shared" si="6"/>
        <v>0</v>
      </c>
      <c r="V15" s="45">
        <f t="shared" si="6"/>
        <v>0</v>
      </c>
      <c r="W15" s="45">
        <f t="shared" si="6"/>
        <v>0</v>
      </c>
      <c r="X15" s="45">
        <f t="shared" si="6"/>
        <v>0</v>
      </c>
      <c r="Y15" s="45">
        <f t="shared" si="6"/>
        <v>0</v>
      </c>
      <c r="Z15" s="45">
        <f t="shared" si="6"/>
        <v>0</v>
      </c>
      <c r="AA15" s="45">
        <f t="shared" si="6"/>
        <v>0</v>
      </c>
      <c r="AB15" s="45">
        <f t="shared" si="6"/>
        <v>0</v>
      </c>
      <c r="AC15" s="45">
        <f t="shared" si="6"/>
        <v>0</v>
      </c>
      <c r="AD15" s="45">
        <f t="shared" si="6"/>
        <v>0</v>
      </c>
      <c r="AE15" s="45">
        <f t="shared" si="6"/>
        <v>0</v>
      </c>
      <c r="AF15" s="45">
        <f t="shared" si="6"/>
        <v>0</v>
      </c>
      <c r="AG15" s="45">
        <f t="shared" si="6"/>
        <v>0</v>
      </c>
      <c r="AH15" s="45">
        <f t="shared" si="6"/>
        <v>0</v>
      </c>
      <c r="AI15" s="45">
        <f t="shared" si="6"/>
        <v>0</v>
      </c>
      <c r="AJ15" s="45">
        <f t="shared" si="6"/>
        <v>0</v>
      </c>
      <c r="AK15" s="45">
        <f t="shared" si="6"/>
        <v>0</v>
      </c>
      <c r="AL15" s="45">
        <f t="shared" si="6"/>
        <v>0</v>
      </c>
      <c r="AM15" s="45">
        <f t="shared" si="6"/>
        <v>0</v>
      </c>
      <c r="AN15" s="45">
        <f t="shared" si="6"/>
        <v>0</v>
      </c>
      <c r="AO15" s="45">
        <f t="shared" si="6"/>
        <v>48759.999999999993</v>
      </c>
      <c r="AP15" s="45">
        <f t="shared" si="6"/>
        <v>97519.999999999985</v>
      </c>
      <c r="AQ15" s="45">
        <f t="shared" si="6"/>
        <v>146280</v>
      </c>
      <c r="AR15" s="45">
        <f t="shared" si="6"/>
        <v>186560</v>
      </c>
      <c r="AS15" s="45">
        <f t="shared" si="6"/>
        <v>186560</v>
      </c>
      <c r="AT15" s="45">
        <f t="shared" si="6"/>
        <v>186560</v>
      </c>
      <c r="AU15" s="45">
        <f t="shared" si="6"/>
        <v>186560</v>
      </c>
      <c r="AV15" s="45">
        <f t="shared" si="6"/>
        <v>186560</v>
      </c>
      <c r="AW15" s="45">
        <f t="shared" si="6"/>
        <v>186560</v>
      </c>
      <c r="AX15" s="45">
        <f t="shared" si="6"/>
        <v>186560</v>
      </c>
      <c r="AY15" s="45">
        <f t="shared" si="6"/>
        <v>186560</v>
      </c>
      <c r="AZ15" s="45">
        <f t="shared" si="6"/>
        <v>186560</v>
      </c>
      <c r="BA15" s="45">
        <f t="shared" si="6"/>
        <v>0</v>
      </c>
      <c r="BB15" s="45">
        <f t="shared" si="6"/>
        <v>0</v>
      </c>
      <c r="BC15" s="45">
        <f t="shared" si="6"/>
        <v>0</v>
      </c>
    </row>
    <row r="16" spans="2:59" x14ac:dyDescent="0.25">
      <c r="B16" s="5"/>
      <c r="C16" s="5"/>
      <c r="D16" s="5"/>
      <c r="E16" s="5"/>
    </row>
    <row r="17" spans="2:55" x14ac:dyDescent="0.25">
      <c r="B17" s="8" t="s">
        <v>67</v>
      </c>
      <c r="C17" s="8"/>
      <c r="D17" s="8"/>
      <c r="E17" s="8">
        <f>SUM(E11:E16)</f>
        <v>10944000</v>
      </c>
      <c r="H17" s="8" t="str">
        <f>B17</f>
        <v>Total Private</v>
      </c>
      <c r="I17" s="8">
        <f>SUM(K17:BC17)</f>
        <v>19734974.158119652</v>
      </c>
      <c r="J17" s="8"/>
      <c r="K17" s="8">
        <f>SUM(K11:K15)</f>
        <v>0</v>
      </c>
      <c r="L17" s="8">
        <f t="shared" ref="L17:BC17" si="7">SUM(L11:L15)</f>
        <v>0</v>
      </c>
      <c r="M17" s="8">
        <f t="shared" si="7"/>
        <v>0</v>
      </c>
      <c r="N17" s="8">
        <f t="shared" si="7"/>
        <v>0</v>
      </c>
      <c r="O17" s="8">
        <f t="shared" si="7"/>
        <v>0</v>
      </c>
      <c r="P17" s="8">
        <f t="shared" si="7"/>
        <v>0</v>
      </c>
      <c r="Q17" s="8">
        <f t="shared" si="7"/>
        <v>0</v>
      </c>
      <c r="R17" s="8">
        <f t="shared" si="7"/>
        <v>0</v>
      </c>
      <c r="S17" s="8">
        <f t="shared" si="7"/>
        <v>30411.111111111109</v>
      </c>
      <c r="T17" s="8">
        <f t="shared" si="7"/>
        <v>60822.222222222219</v>
      </c>
      <c r="U17" s="8">
        <f t="shared" si="7"/>
        <v>91233.333333333343</v>
      </c>
      <c r="V17" s="8">
        <f t="shared" si="7"/>
        <v>116355.55555555555</v>
      </c>
      <c r="W17" s="8">
        <f t="shared" si="7"/>
        <v>116355.55555555555</v>
      </c>
      <c r="X17" s="8">
        <f t="shared" si="7"/>
        <v>162156.22222222222</v>
      </c>
      <c r="Y17" s="8">
        <f t="shared" si="7"/>
        <v>207956.88888888888</v>
      </c>
      <c r="Z17" s="8">
        <f t="shared" si="7"/>
        <v>253757.55555555556</v>
      </c>
      <c r="AA17" s="8">
        <f t="shared" si="7"/>
        <v>291592.88888888888</v>
      </c>
      <c r="AB17" s="8">
        <f t="shared" si="7"/>
        <v>291592.88888888888</v>
      </c>
      <c r="AC17" s="8">
        <f t="shared" si="7"/>
        <v>354766.22222222219</v>
      </c>
      <c r="AD17" s="8">
        <f t="shared" si="7"/>
        <v>417939.5555555555</v>
      </c>
      <c r="AE17" s="8">
        <f t="shared" si="7"/>
        <v>480360.74786324787</v>
      </c>
      <c r="AF17" s="8">
        <f t="shared" si="7"/>
        <v>536790.22222222213</v>
      </c>
      <c r="AG17" s="8">
        <f t="shared" si="7"/>
        <v>536790.22222222213</v>
      </c>
      <c r="AH17" s="8">
        <f t="shared" si="7"/>
        <v>536790.22222222213</v>
      </c>
      <c r="AI17" s="8">
        <f t="shared" si="7"/>
        <v>590697.11111111101</v>
      </c>
      <c r="AJ17" s="8">
        <f t="shared" si="7"/>
        <v>643323.53846153838</v>
      </c>
      <c r="AK17" s="8">
        <f t="shared" si="7"/>
        <v>703614.88888888876</v>
      </c>
      <c r="AL17" s="8">
        <f t="shared" si="7"/>
        <v>748146.66666666651</v>
      </c>
      <c r="AM17" s="8">
        <f t="shared" si="7"/>
        <v>748146.66666666651</v>
      </c>
      <c r="AN17" s="8">
        <f t="shared" si="7"/>
        <v>748146.66666666651</v>
      </c>
      <c r="AO17" s="8">
        <f t="shared" si="7"/>
        <v>795140.51282051275</v>
      </c>
      <c r="AP17" s="8">
        <f t="shared" si="7"/>
        <v>852706.66666666651</v>
      </c>
      <c r="AQ17" s="8">
        <f t="shared" si="7"/>
        <v>900590.94871794875</v>
      </c>
      <c r="AR17" s="8">
        <f t="shared" si="7"/>
        <v>945237.33333333326</v>
      </c>
      <c r="AS17" s="8">
        <f t="shared" si="7"/>
        <v>945237.33333333326</v>
      </c>
      <c r="AT17" s="8">
        <f t="shared" si="7"/>
        <v>945237.33333333326</v>
      </c>
      <c r="AU17" s="8">
        <f t="shared" si="7"/>
        <v>937935.56410256412</v>
      </c>
      <c r="AV17" s="8">
        <f t="shared" si="7"/>
        <v>943776.1794871795</v>
      </c>
      <c r="AW17" s="8">
        <f t="shared" si="7"/>
        <v>950341.33333333326</v>
      </c>
      <c r="AX17" s="8">
        <f t="shared" si="7"/>
        <v>950341.33333333326</v>
      </c>
      <c r="AY17" s="8">
        <f t="shared" si="7"/>
        <v>950341.33333333326</v>
      </c>
      <c r="AZ17" s="8">
        <f t="shared" si="7"/>
        <v>950341.33333333326</v>
      </c>
      <c r="BA17" s="8">
        <f t="shared" si="7"/>
        <v>0</v>
      </c>
      <c r="BB17" s="8">
        <f t="shared" si="7"/>
        <v>0</v>
      </c>
      <c r="BC17" s="8">
        <f t="shared" si="7"/>
        <v>0</v>
      </c>
    </row>
    <row r="19" spans="2:55" ht="15.75" x14ac:dyDescent="0.25">
      <c r="B19" s="46" t="s">
        <v>33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</row>
    <row r="21" spans="2:55" x14ac:dyDescent="0.25">
      <c r="B21" s="8" t="s">
        <v>31</v>
      </c>
      <c r="C21" s="8"/>
      <c r="D21" s="8"/>
      <c r="E21" s="8" t="s">
        <v>66</v>
      </c>
      <c r="I21" s="35"/>
    </row>
    <row r="22" spans="2:55" x14ac:dyDescent="0.25">
      <c r="B22" s="5" t="str">
        <f>B11</f>
        <v>Phase 1</v>
      </c>
      <c r="C22" s="5"/>
      <c r="D22" s="5"/>
      <c r="E22" s="5">
        <f>'Accom_Phase Schedule'!N53*12</f>
        <v>105000</v>
      </c>
      <c r="H22" s="45" t="str">
        <f>B22</f>
        <v>Phase 1</v>
      </c>
      <c r="I22" s="60">
        <f>SUM(K22:BC22)</f>
        <v>305900</v>
      </c>
      <c r="J22" s="45"/>
      <c r="K22" s="45">
        <f t="shared" ref="K22:BC22" si="8">($E22/12)*K108</f>
        <v>0</v>
      </c>
      <c r="L22" s="45">
        <f t="shared" si="8"/>
        <v>0</v>
      </c>
      <c r="M22" s="45">
        <f t="shared" si="8"/>
        <v>0</v>
      </c>
      <c r="N22" s="45">
        <f t="shared" si="8"/>
        <v>0</v>
      </c>
      <c r="O22" s="45">
        <f t="shared" si="8"/>
        <v>0</v>
      </c>
      <c r="P22" s="45">
        <f t="shared" si="8"/>
        <v>0</v>
      </c>
      <c r="Q22" s="45">
        <f t="shared" si="8"/>
        <v>0</v>
      </c>
      <c r="R22" s="45">
        <f t="shared" si="8"/>
        <v>0</v>
      </c>
      <c r="S22" s="45">
        <f t="shared" si="8"/>
        <v>8750</v>
      </c>
      <c r="T22" s="45">
        <f t="shared" si="8"/>
        <v>8750</v>
      </c>
      <c r="U22" s="45">
        <f t="shared" si="8"/>
        <v>8750</v>
      </c>
      <c r="V22" s="45">
        <f t="shared" si="8"/>
        <v>8750</v>
      </c>
      <c r="W22" s="45">
        <f t="shared" si="8"/>
        <v>8750</v>
      </c>
      <c r="X22" s="45">
        <f t="shared" si="8"/>
        <v>8750</v>
      </c>
      <c r="Y22" s="45">
        <f t="shared" si="8"/>
        <v>8750</v>
      </c>
      <c r="Z22" s="45">
        <f t="shared" si="8"/>
        <v>8750</v>
      </c>
      <c r="AA22" s="45">
        <f t="shared" si="8"/>
        <v>8750</v>
      </c>
      <c r="AB22" s="45">
        <f t="shared" si="8"/>
        <v>8750</v>
      </c>
      <c r="AC22" s="45">
        <f t="shared" si="8"/>
        <v>8750</v>
      </c>
      <c r="AD22" s="45">
        <f t="shared" si="8"/>
        <v>8750</v>
      </c>
      <c r="AE22" s="45">
        <f t="shared" si="8"/>
        <v>9012.5</v>
      </c>
      <c r="AF22" s="45">
        <f t="shared" si="8"/>
        <v>9012.5</v>
      </c>
      <c r="AG22" s="45">
        <f t="shared" si="8"/>
        <v>9012.5</v>
      </c>
      <c r="AH22" s="45">
        <f t="shared" si="8"/>
        <v>9012.5</v>
      </c>
      <c r="AI22" s="45">
        <f t="shared" si="8"/>
        <v>9012.5</v>
      </c>
      <c r="AJ22" s="45">
        <f t="shared" si="8"/>
        <v>9012.5</v>
      </c>
      <c r="AK22" s="45">
        <f t="shared" si="8"/>
        <v>9012.5</v>
      </c>
      <c r="AL22" s="45">
        <f t="shared" si="8"/>
        <v>9012.5</v>
      </c>
      <c r="AM22" s="45">
        <f t="shared" si="8"/>
        <v>9012.5</v>
      </c>
      <c r="AN22" s="45">
        <f t="shared" si="8"/>
        <v>9012.5</v>
      </c>
      <c r="AO22" s="45">
        <f t="shared" si="8"/>
        <v>9012.5</v>
      </c>
      <c r="AP22" s="45">
        <f t="shared" si="8"/>
        <v>9012.5</v>
      </c>
      <c r="AQ22" s="45">
        <f t="shared" si="8"/>
        <v>9275</v>
      </c>
      <c r="AR22" s="45">
        <f t="shared" si="8"/>
        <v>9275</v>
      </c>
      <c r="AS22" s="45">
        <f t="shared" si="8"/>
        <v>9275</v>
      </c>
      <c r="AT22" s="45">
        <f t="shared" si="8"/>
        <v>9275</v>
      </c>
      <c r="AU22" s="45">
        <f t="shared" si="8"/>
        <v>9275</v>
      </c>
      <c r="AV22" s="45">
        <f t="shared" si="8"/>
        <v>9275</v>
      </c>
      <c r="AW22" s="45">
        <f t="shared" si="8"/>
        <v>9275</v>
      </c>
      <c r="AX22" s="45">
        <f t="shared" si="8"/>
        <v>9275</v>
      </c>
      <c r="AY22" s="45">
        <f t="shared" si="8"/>
        <v>9275</v>
      </c>
      <c r="AZ22" s="45">
        <f t="shared" si="8"/>
        <v>9275</v>
      </c>
      <c r="BA22" s="45">
        <f t="shared" si="8"/>
        <v>0</v>
      </c>
      <c r="BB22" s="45">
        <f t="shared" si="8"/>
        <v>0</v>
      </c>
      <c r="BC22" s="45">
        <f t="shared" si="8"/>
        <v>0</v>
      </c>
    </row>
    <row r="23" spans="2:55" x14ac:dyDescent="0.25">
      <c r="B23" s="5" t="str">
        <f>B12</f>
        <v>Phase 2</v>
      </c>
      <c r="C23" s="5"/>
      <c r="D23" s="5"/>
      <c r="E23" s="5">
        <f>'Accom_Phase Schedule'!N54*12</f>
        <v>153000</v>
      </c>
      <c r="H23" s="10" t="str">
        <f>B23</f>
        <v>Phase 2</v>
      </c>
      <c r="I23" s="61">
        <f t="shared" ref="I23:I26" si="9">SUM(K23:BC23)</f>
        <v>389257.5</v>
      </c>
      <c r="J23" s="10"/>
      <c r="K23" s="10">
        <f t="shared" ref="K23:BC23" si="10">($E23/12)*K109</f>
        <v>0</v>
      </c>
      <c r="L23" s="10">
        <f t="shared" si="10"/>
        <v>0</v>
      </c>
      <c r="M23" s="10">
        <f t="shared" si="10"/>
        <v>0</v>
      </c>
      <c r="N23" s="10">
        <f t="shared" si="10"/>
        <v>0</v>
      </c>
      <c r="O23" s="10">
        <f t="shared" si="10"/>
        <v>0</v>
      </c>
      <c r="P23" s="10">
        <f t="shared" si="10"/>
        <v>0</v>
      </c>
      <c r="Q23" s="10">
        <f t="shared" si="10"/>
        <v>0</v>
      </c>
      <c r="R23" s="10">
        <f t="shared" si="10"/>
        <v>0</v>
      </c>
      <c r="S23" s="10">
        <f t="shared" si="10"/>
        <v>0</v>
      </c>
      <c r="T23" s="10">
        <f t="shared" si="10"/>
        <v>0</v>
      </c>
      <c r="U23" s="10">
        <f t="shared" si="10"/>
        <v>0</v>
      </c>
      <c r="V23" s="10">
        <f t="shared" si="10"/>
        <v>0</v>
      </c>
      <c r="W23" s="10">
        <f t="shared" si="10"/>
        <v>0</v>
      </c>
      <c r="X23" s="10">
        <f t="shared" si="10"/>
        <v>13132.5</v>
      </c>
      <c r="Y23" s="10">
        <f t="shared" si="10"/>
        <v>13132.5</v>
      </c>
      <c r="Z23" s="10">
        <f t="shared" si="10"/>
        <v>13132.5</v>
      </c>
      <c r="AA23" s="10">
        <f t="shared" si="10"/>
        <v>13132.5</v>
      </c>
      <c r="AB23" s="10">
        <f t="shared" si="10"/>
        <v>13132.5</v>
      </c>
      <c r="AC23" s="10">
        <f t="shared" si="10"/>
        <v>13132.5</v>
      </c>
      <c r="AD23" s="10">
        <f t="shared" si="10"/>
        <v>13132.5</v>
      </c>
      <c r="AE23" s="10">
        <f t="shared" si="10"/>
        <v>13132.5</v>
      </c>
      <c r="AF23" s="10">
        <f t="shared" si="10"/>
        <v>13132.5</v>
      </c>
      <c r="AG23" s="10">
        <f t="shared" si="10"/>
        <v>13132.5</v>
      </c>
      <c r="AH23" s="10">
        <f t="shared" si="10"/>
        <v>13132.5</v>
      </c>
      <c r="AI23" s="10">
        <f t="shared" si="10"/>
        <v>13132.5</v>
      </c>
      <c r="AJ23" s="10">
        <f t="shared" si="10"/>
        <v>13515</v>
      </c>
      <c r="AK23" s="10">
        <f t="shared" si="10"/>
        <v>13515</v>
      </c>
      <c r="AL23" s="10">
        <f t="shared" si="10"/>
        <v>13515</v>
      </c>
      <c r="AM23" s="10">
        <f t="shared" si="10"/>
        <v>13515</v>
      </c>
      <c r="AN23" s="10">
        <f t="shared" si="10"/>
        <v>13515</v>
      </c>
      <c r="AO23" s="10">
        <f t="shared" si="10"/>
        <v>13515</v>
      </c>
      <c r="AP23" s="10">
        <f t="shared" si="10"/>
        <v>13515</v>
      </c>
      <c r="AQ23" s="10">
        <f t="shared" si="10"/>
        <v>13515</v>
      </c>
      <c r="AR23" s="10">
        <f t="shared" si="10"/>
        <v>13515</v>
      </c>
      <c r="AS23" s="10">
        <f t="shared" si="10"/>
        <v>13515</v>
      </c>
      <c r="AT23" s="10">
        <f t="shared" si="10"/>
        <v>13515</v>
      </c>
      <c r="AU23" s="10">
        <f t="shared" si="10"/>
        <v>13515</v>
      </c>
      <c r="AV23" s="10">
        <f t="shared" si="10"/>
        <v>13897.500000000002</v>
      </c>
      <c r="AW23" s="10">
        <f t="shared" si="10"/>
        <v>13897.500000000002</v>
      </c>
      <c r="AX23" s="10">
        <f t="shared" si="10"/>
        <v>13897.500000000002</v>
      </c>
      <c r="AY23" s="10">
        <f t="shared" si="10"/>
        <v>13897.500000000002</v>
      </c>
      <c r="AZ23" s="10">
        <f t="shared" si="10"/>
        <v>13897.500000000002</v>
      </c>
      <c r="BA23" s="10">
        <f t="shared" si="10"/>
        <v>0</v>
      </c>
      <c r="BB23" s="10">
        <f t="shared" si="10"/>
        <v>0</v>
      </c>
      <c r="BC23" s="10">
        <f t="shared" si="10"/>
        <v>0</v>
      </c>
    </row>
    <row r="24" spans="2:55" x14ac:dyDescent="0.25">
      <c r="B24" s="5" t="str">
        <f>B13</f>
        <v>Phase 3</v>
      </c>
      <c r="C24" s="5"/>
      <c r="D24" s="5"/>
      <c r="E24" s="5">
        <f>'Accom_Phase Schedule'!N55*12</f>
        <v>288000</v>
      </c>
      <c r="H24" s="45" t="str">
        <f>B24</f>
        <v>Phase 3</v>
      </c>
      <c r="I24" s="60">
        <f t="shared" si="9"/>
        <v>601920</v>
      </c>
      <c r="J24" s="45"/>
      <c r="K24" s="45">
        <f t="shared" ref="K24:BC24" si="11">($E24/12)*K110</f>
        <v>0</v>
      </c>
      <c r="L24" s="45">
        <f t="shared" si="11"/>
        <v>0</v>
      </c>
      <c r="M24" s="45">
        <f t="shared" si="11"/>
        <v>0</v>
      </c>
      <c r="N24" s="45">
        <f t="shared" si="11"/>
        <v>0</v>
      </c>
      <c r="O24" s="45">
        <f t="shared" si="11"/>
        <v>0</v>
      </c>
      <c r="P24" s="45">
        <f t="shared" si="11"/>
        <v>0</v>
      </c>
      <c r="Q24" s="45">
        <f t="shared" si="11"/>
        <v>0</v>
      </c>
      <c r="R24" s="45">
        <f t="shared" si="11"/>
        <v>0</v>
      </c>
      <c r="S24" s="45">
        <f t="shared" si="11"/>
        <v>0</v>
      </c>
      <c r="T24" s="45">
        <f t="shared" si="11"/>
        <v>0</v>
      </c>
      <c r="U24" s="45">
        <f t="shared" si="11"/>
        <v>0</v>
      </c>
      <c r="V24" s="45">
        <f t="shared" si="11"/>
        <v>0</v>
      </c>
      <c r="W24" s="45">
        <f t="shared" si="11"/>
        <v>0</v>
      </c>
      <c r="X24" s="45">
        <f t="shared" si="11"/>
        <v>0</v>
      </c>
      <c r="Y24" s="45">
        <f t="shared" si="11"/>
        <v>0</v>
      </c>
      <c r="Z24" s="45">
        <f t="shared" si="11"/>
        <v>0</v>
      </c>
      <c r="AA24" s="45">
        <f t="shared" si="11"/>
        <v>0</v>
      </c>
      <c r="AB24" s="45">
        <f t="shared" si="11"/>
        <v>0</v>
      </c>
      <c r="AC24" s="45">
        <f t="shared" si="11"/>
        <v>24720</v>
      </c>
      <c r="AD24" s="45">
        <f t="shared" si="11"/>
        <v>24720</v>
      </c>
      <c r="AE24" s="45">
        <f t="shared" si="11"/>
        <v>24720</v>
      </c>
      <c r="AF24" s="45">
        <f t="shared" si="11"/>
        <v>24720</v>
      </c>
      <c r="AG24" s="45">
        <f t="shared" si="11"/>
        <v>24720</v>
      </c>
      <c r="AH24" s="45">
        <f t="shared" si="11"/>
        <v>24720</v>
      </c>
      <c r="AI24" s="45">
        <f t="shared" si="11"/>
        <v>24720</v>
      </c>
      <c r="AJ24" s="45">
        <f t="shared" si="11"/>
        <v>24720</v>
      </c>
      <c r="AK24" s="45">
        <f t="shared" si="11"/>
        <v>24720</v>
      </c>
      <c r="AL24" s="45">
        <f t="shared" si="11"/>
        <v>24720</v>
      </c>
      <c r="AM24" s="45">
        <f t="shared" si="11"/>
        <v>24720</v>
      </c>
      <c r="AN24" s="45">
        <f t="shared" si="11"/>
        <v>24720</v>
      </c>
      <c r="AO24" s="45">
        <f t="shared" si="11"/>
        <v>25440</v>
      </c>
      <c r="AP24" s="45">
        <f t="shared" si="11"/>
        <v>25440</v>
      </c>
      <c r="AQ24" s="45">
        <f t="shared" si="11"/>
        <v>25440</v>
      </c>
      <c r="AR24" s="45">
        <f t="shared" si="11"/>
        <v>25440</v>
      </c>
      <c r="AS24" s="45">
        <f t="shared" si="11"/>
        <v>25440</v>
      </c>
      <c r="AT24" s="45">
        <f t="shared" si="11"/>
        <v>25440</v>
      </c>
      <c r="AU24" s="45">
        <f t="shared" si="11"/>
        <v>25440</v>
      </c>
      <c r="AV24" s="45">
        <f t="shared" si="11"/>
        <v>25440</v>
      </c>
      <c r="AW24" s="45">
        <f t="shared" si="11"/>
        <v>25440</v>
      </c>
      <c r="AX24" s="45">
        <f t="shared" si="11"/>
        <v>25440</v>
      </c>
      <c r="AY24" s="45">
        <f t="shared" si="11"/>
        <v>25440</v>
      </c>
      <c r="AZ24" s="45">
        <f t="shared" si="11"/>
        <v>25440</v>
      </c>
      <c r="BA24" s="45">
        <f t="shared" si="11"/>
        <v>0</v>
      </c>
      <c r="BB24" s="45">
        <f t="shared" si="11"/>
        <v>0</v>
      </c>
      <c r="BC24" s="45">
        <f t="shared" si="11"/>
        <v>0</v>
      </c>
    </row>
    <row r="25" spans="2:55" x14ac:dyDescent="0.25">
      <c r="B25" s="5" t="str">
        <f>B14</f>
        <v>Phase 4</v>
      </c>
      <c r="C25" s="5"/>
      <c r="D25" s="5"/>
      <c r="E25" s="5">
        <f>'Accom_Phase Schedule'!N56*12</f>
        <v>105000</v>
      </c>
      <c r="H25" s="10" t="str">
        <f>B25</f>
        <v>Phase 4</v>
      </c>
      <c r="I25" s="61">
        <f t="shared" si="9"/>
        <v>166950</v>
      </c>
      <c r="J25" s="10"/>
      <c r="K25" s="10">
        <f t="shared" ref="K25:BC25" si="12">($E25/12)*K111</f>
        <v>0</v>
      </c>
      <c r="L25" s="10">
        <f t="shared" si="12"/>
        <v>0</v>
      </c>
      <c r="M25" s="10">
        <f t="shared" si="12"/>
        <v>0</v>
      </c>
      <c r="N25" s="10">
        <f t="shared" si="12"/>
        <v>0</v>
      </c>
      <c r="O25" s="10">
        <f t="shared" si="12"/>
        <v>0</v>
      </c>
      <c r="P25" s="10">
        <f t="shared" si="12"/>
        <v>0</v>
      </c>
      <c r="Q25" s="10">
        <f t="shared" si="12"/>
        <v>0</v>
      </c>
      <c r="R25" s="10">
        <f t="shared" si="12"/>
        <v>0</v>
      </c>
      <c r="S25" s="10">
        <f t="shared" si="12"/>
        <v>0</v>
      </c>
      <c r="T25" s="10">
        <f t="shared" si="12"/>
        <v>0</v>
      </c>
      <c r="U25" s="10">
        <f t="shared" si="12"/>
        <v>0</v>
      </c>
      <c r="V25" s="10">
        <f t="shared" si="12"/>
        <v>0</v>
      </c>
      <c r="W25" s="10">
        <f t="shared" si="12"/>
        <v>0</v>
      </c>
      <c r="X25" s="10">
        <f t="shared" si="12"/>
        <v>0</v>
      </c>
      <c r="Y25" s="10">
        <f t="shared" si="12"/>
        <v>0</v>
      </c>
      <c r="Z25" s="10">
        <f t="shared" si="12"/>
        <v>0</v>
      </c>
      <c r="AA25" s="10">
        <f t="shared" si="12"/>
        <v>0</v>
      </c>
      <c r="AB25" s="10">
        <f t="shared" si="12"/>
        <v>0</v>
      </c>
      <c r="AC25" s="10">
        <f t="shared" si="12"/>
        <v>0</v>
      </c>
      <c r="AD25" s="10">
        <f t="shared" si="12"/>
        <v>0</v>
      </c>
      <c r="AE25" s="10">
        <f t="shared" si="12"/>
        <v>0</v>
      </c>
      <c r="AF25" s="10">
        <f t="shared" si="12"/>
        <v>0</v>
      </c>
      <c r="AG25" s="10">
        <f t="shared" si="12"/>
        <v>0</v>
      </c>
      <c r="AH25" s="10">
        <f t="shared" si="12"/>
        <v>0</v>
      </c>
      <c r="AI25" s="10">
        <f t="shared" si="12"/>
        <v>9275</v>
      </c>
      <c r="AJ25" s="10">
        <f t="shared" si="12"/>
        <v>9275</v>
      </c>
      <c r="AK25" s="10">
        <f t="shared" si="12"/>
        <v>9275</v>
      </c>
      <c r="AL25" s="10">
        <f t="shared" si="12"/>
        <v>9275</v>
      </c>
      <c r="AM25" s="10">
        <f t="shared" si="12"/>
        <v>9275</v>
      </c>
      <c r="AN25" s="10">
        <f t="shared" si="12"/>
        <v>9275</v>
      </c>
      <c r="AO25" s="10">
        <f t="shared" si="12"/>
        <v>9275</v>
      </c>
      <c r="AP25" s="10">
        <f t="shared" si="12"/>
        <v>9275</v>
      </c>
      <c r="AQ25" s="10">
        <f t="shared" si="12"/>
        <v>9275</v>
      </c>
      <c r="AR25" s="10">
        <f t="shared" si="12"/>
        <v>9275</v>
      </c>
      <c r="AS25" s="10">
        <f t="shared" si="12"/>
        <v>9275</v>
      </c>
      <c r="AT25" s="10">
        <f t="shared" si="12"/>
        <v>9275</v>
      </c>
      <c r="AU25" s="10">
        <f t="shared" si="12"/>
        <v>9275</v>
      </c>
      <c r="AV25" s="10">
        <f t="shared" si="12"/>
        <v>9275</v>
      </c>
      <c r="AW25" s="10">
        <f t="shared" si="12"/>
        <v>9275</v>
      </c>
      <c r="AX25" s="10">
        <f t="shared" si="12"/>
        <v>9275</v>
      </c>
      <c r="AY25" s="10">
        <f t="shared" si="12"/>
        <v>9275</v>
      </c>
      <c r="AZ25" s="10">
        <f t="shared" si="12"/>
        <v>9275</v>
      </c>
      <c r="BA25" s="10">
        <f t="shared" si="12"/>
        <v>0</v>
      </c>
      <c r="BB25" s="10">
        <f t="shared" si="12"/>
        <v>0</v>
      </c>
      <c r="BC25" s="10">
        <f t="shared" si="12"/>
        <v>0</v>
      </c>
    </row>
    <row r="26" spans="2:55" x14ac:dyDescent="0.25">
      <c r="B26" s="5" t="str">
        <f>B15</f>
        <v>Phase 5</v>
      </c>
      <c r="C26" s="5"/>
      <c r="D26" s="5"/>
      <c r="E26" s="5">
        <f>'Accom_Phase Schedule'!N57*12</f>
        <v>144000</v>
      </c>
      <c r="H26" s="45" t="str">
        <f>B26</f>
        <v>Phase 5</v>
      </c>
      <c r="I26" s="60">
        <f t="shared" si="9"/>
        <v>152640</v>
      </c>
      <c r="J26" s="45"/>
      <c r="K26" s="45">
        <f t="shared" ref="K26:BC26" si="13">($E26/12)*K112</f>
        <v>0</v>
      </c>
      <c r="L26" s="45">
        <f t="shared" si="13"/>
        <v>0</v>
      </c>
      <c r="M26" s="45">
        <f t="shared" si="13"/>
        <v>0</v>
      </c>
      <c r="N26" s="45">
        <f t="shared" si="13"/>
        <v>0</v>
      </c>
      <c r="O26" s="45">
        <f t="shared" si="13"/>
        <v>0</v>
      </c>
      <c r="P26" s="45">
        <f t="shared" si="13"/>
        <v>0</v>
      </c>
      <c r="Q26" s="45">
        <f t="shared" si="13"/>
        <v>0</v>
      </c>
      <c r="R26" s="45">
        <f t="shared" si="13"/>
        <v>0</v>
      </c>
      <c r="S26" s="45">
        <f t="shared" si="13"/>
        <v>0</v>
      </c>
      <c r="T26" s="45">
        <f t="shared" si="13"/>
        <v>0</v>
      </c>
      <c r="U26" s="45">
        <f t="shared" si="13"/>
        <v>0</v>
      </c>
      <c r="V26" s="45">
        <f t="shared" si="13"/>
        <v>0</v>
      </c>
      <c r="W26" s="45">
        <f t="shared" si="13"/>
        <v>0</v>
      </c>
      <c r="X26" s="45">
        <f t="shared" si="13"/>
        <v>0</v>
      </c>
      <c r="Y26" s="45">
        <f t="shared" si="13"/>
        <v>0</v>
      </c>
      <c r="Z26" s="45">
        <f t="shared" si="13"/>
        <v>0</v>
      </c>
      <c r="AA26" s="45">
        <f t="shared" si="13"/>
        <v>0</v>
      </c>
      <c r="AB26" s="45">
        <f t="shared" si="13"/>
        <v>0</v>
      </c>
      <c r="AC26" s="45">
        <f t="shared" si="13"/>
        <v>0</v>
      </c>
      <c r="AD26" s="45">
        <f t="shared" si="13"/>
        <v>0</v>
      </c>
      <c r="AE26" s="45">
        <f t="shared" si="13"/>
        <v>0</v>
      </c>
      <c r="AF26" s="45">
        <f t="shared" si="13"/>
        <v>0</v>
      </c>
      <c r="AG26" s="45">
        <f t="shared" si="13"/>
        <v>0</v>
      </c>
      <c r="AH26" s="45">
        <f t="shared" si="13"/>
        <v>0</v>
      </c>
      <c r="AI26" s="45">
        <f t="shared" si="13"/>
        <v>0</v>
      </c>
      <c r="AJ26" s="45">
        <f t="shared" si="13"/>
        <v>0</v>
      </c>
      <c r="AK26" s="45">
        <f t="shared" si="13"/>
        <v>0</v>
      </c>
      <c r="AL26" s="45">
        <f t="shared" si="13"/>
        <v>0</v>
      </c>
      <c r="AM26" s="45">
        <f t="shared" si="13"/>
        <v>0</v>
      </c>
      <c r="AN26" s="45">
        <f t="shared" si="13"/>
        <v>0</v>
      </c>
      <c r="AO26" s="45">
        <f t="shared" si="13"/>
        <v>12720</v>
      </c>
      <c r="AP26" s="45">
        <f t="shared" si="13"/>
        <v>12720</v>
      </c>
      <c r="AQ26" s="45">
        <f t="shared" si="13"/>
        <v>12720</v>
      </c>
      <c r="AR26" s="45">
        <f t="shared" si="13"/>
        <v>12720</v>
      </c>
      <c r="AS26" s="45">
        <f t="shared" si="13"/>
        <v>12720</v>
      </c>
      <c r="AT26" s="45">
        <f t="shared" si="13"/>
        <v>12720</v>
      </c>
      <c r="AU26" s="45">
        <f t="shared" si="13"/>
        <v>12720</v>
      </c>
      <c r="AV26" s="45">
        <f t="shared" si="13"/>
        <v>12720</v>
      </c>
      <c r="AW26" s="45">
        <f t="shared" si="13"/>
        <v>12720</v>
      </c>
      <c r="AX26" s="45">
        <f t="shared" si="13"/>
        <v>12720</v>
      </c>
      <c r="AY26" s="45">
        <f t="shared" si="13"/>
        <v>12720</v>
      </c>
      <c r="AZ26" s="45">
        <f t="shared" si="13"/>
        <v>12720</v>
      </c>
      <c r="BA26" s="45">
        <f t="shared" si="13"/>
        <v>0</v>
      </c>
      <c r="BB26" s="45">
        <f t="shared" si="13"/>
        <v>0</v>
      </c>
      <c r="BC26" s="45">
        <f t="shared" si="13"/>
        <v>0</v>
      </c>
    </row>
    <row r="27" spans="2:55" x14ac:dyDescent="0.25">
      <c r="B27" s="5"/>
      <c r="C27" s="5"/>
      <c r="D27" s="5"/>
      <c r="E27" s="5"/>
    </row>
    <row r="28" spans="2:55" x14ac:dyDescent="0.25">
      <c r="B28" s="8" t="s">
        <v>68</v>
      </c>
      <c r="C28" s="8"/>
      <c r="D28" s="8"/>
      <c r="E28" s="8">
        <f>SUM(E22:E27)</f>
        <v>795000</v>
      </c>
      <c r="H28" s="8" t="str">
        <f>B28</f>
        <v>Total Part V</v>
      </c>
      <c r="I28" s="8">
        <f>SUM(K28:BC28)</f>
        <v>1616667.5</v>
      </c>
      <c r="J28" s="8"/>
      <c r="K28" s="8">
        <f>SUM(K22:K26)</f>
        <v>0</v>
      </c>
      <c r="L28" s="8">
        <f t="shared" ref="L28:BC28" si="14">SUM(L22:L26)</f>
        <v>0</v>
      </c>
      <c r="M28" s="8">
        <f t="shared" si="14"/>
        <v>0</v>
      </c>
      <c r="N28" s="8">
        <f t="shared" si="14"/>
        <v>0</v>
      </c>
      <c r="O28" s="8">
        <f t="shared" si="14"/>
        <v>0</v>
      </c>
      <c r="P28" s="8">
        <f t="shared" si="14"/>
        <v>0</v>
      </c>
      <c r="Q28" s="8">
        <f t="shared" si="14"/>
        <v>0</v>
      </c>
      <c r="R28" s="8">
        <f t="shared" si="14"/>
        <v>0</v>
      </c>
      <c r="S28" s="8">
        <f t="shared" si="14"/>
        <v>8750</v>
      </c>
      <c r="T28" s="8">
        <f t="shared" si="14"/>
        <v>8750</v>
      </c>
      <c r="U28" s="8">
        <f t="shared" si="14"/>
        <v>8750</v>
      </c>
      <c r="V28" s="8">
        <f t="shared" si="14"/>
        <v>8750</v>
      </c>
      <c r="W28" s="8">
        <f t="shared" si="14"/>
        <v>8750</v>
      </c>
      <c r="X28" s="8">
        <f t="shared" si="14"/>
        <v>21882.5</v>
      </c>
      <c r="Y28" s="8">
        <f t="shared" si="14"/>
        <v>21882.5</v>
      </c>
      <c r="Z28" s="8">
        <f t="shared" si="14"/>
        <v>21882.5</v>
      </c>
      <c r="AA28" s="8">
        <f t="shared" si="14"/>
        <v>21882.5</v>
      </c>
      <c r="AB28" s="8">
        <f t="shared" si="14"/>
        <v>21882.5</v>
      </c>
      <c r="AC28" s="8">
        <f t="shared" si="14"/>
        <v>46602.5</v>
      </c>
      <c r="AD28" s="8">
        <f t="shared" si="14"/>
        <v>46602.5</v>
      </c>
      <c r="AE28" s="8">
        <f t="shared" si="14"/>
        <v>46865</v>
      </c>
      <c r="AF28" s="8">
        <f t="shared" si="14"/>
        <v>46865</v>
      </c>
      <c r="AG28" s="8">
        <f t="shared" si="14"/>
        <v>46865</v>
      </c>
      <c r="AH28" s="8">
        <f t="shared" si="14"/>
        <v>46865</v>
      </c>
      <c r="AI28" s="8">
        <f t="shared" si="14"/>
        <v>56140</v>
      </c>
      <c r="AJ28" s="8">
        <f t="shared" si="14"/>
        <v>56522.5</v>
      </c>
      <c r="AK28" s="8">
        <f t="shared" si="14"/>
        <v>56522.5</v>
      </c>
      <c r="AL28" s="8">
        <f t="shared" si="14"/>
        <v>56522.5</v>
      </c>
      <c r="AM28" s="8">
        <f t="shared" si="14"/>
        <v>56522.5</v>
      </c>
      <c r="AN28" s="8">
        <f t="shared" si="14"/>
        <v>56522.5</v>
      </c>
      <c r="AO28" s="8">
        <f t="shared" si="14"/>
        <v>69962.5</v>
      </c>
      <c r="AP28" s="8">
        <f t="shared" si="14"/>
        <v>69962.5</v>
      </c>
      <c r="AQ28" s="8">
        <f t="shared" si="14"/>
        <v>70225</v>
      </c>
      <c r="AR28" s="8">
        <f t="shared" si="14"/>
        <v>70225</v>
      </c>
      <c r="AS28" s="8">
        <f t="shared" si="14"/>
        <v>70225</v>
      </c>
      <c r="AT28" s="8">
        <f t="shared" si="14"/>
        <v>70225</v>
      </c>
      <c r="AU28" s="8">
        <f t="shared" si="14"/>
        <v>70225</v>
      </c>
      <c r="AV28" s="8">
        <f t="shared" si="14"/>
        <v>70607.5</v>
      </c>
      <c r="AW28" s="8">
        <f t="shared" si="14"/>
        <v>70607.5</v>
      </c>
      <c r="AX28" s="8">
        <f t="shared" si="14"/>
        <v>70607.5</v>
      </c>
      <c r="AY28" s="8">
        <f t="shared" si="14"/>
        <v>70607.5</v>
      </c>
      <c r="AZ28" s="8">
        <f t="shared" si="14"/>
        <v>70607.5</v>
      </c>
      <c r="BA28" s="8">
        <f t="shared" si="14"/>
        <v>0</v>
      </c>
      <c r="BB28" s="8">
        <f t="shared" si="14"/>
        <v>0</v>
      </c>
      <c r="BC28" s="8">
        <f t="shared" si="14"/>
        <v>0</v>
      </c>
    </row>
    <row r="30" spans="2:55" ht="15.75" x14ac:dyDescent="0.25">
      <c r="B30" s="44" t="s">
        <v>70</v>
      </c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</row>
    <row r="32" spans="2:55" x14ac:dyDescent="0.25">
      <c r="B32" s="8" t="s">
        <v>69</v>
      </c>
      <c r="C32" s="8"/>
      <c r="D32" s="8"/>
      <c r="E32" s="8">
        <f>E17+E28</f>
        <v>11739000</v>
      </c>
      <c r="H32" s="8" t="str">
        <f>B32</f>
        <v>Total Gross Rent</v>
      </c>
      <c r="I32" s="8">
        <f t="shared" ref="I32" si="15">SUM(K32:BC32)</f>
        <v>21351641.658119649</v>
      </c>
      <c r="J32" s="8"/>
      <c r="K32" s="8">
        <f t="shared" ref="K32:BC32" si="16">K17+K28</f>
        <v>0</v>
      </c>
      <c r="L32" s="8">
        <f t="shared" si="16"/>
        <v>0</v>
      </c>
      <c r="M32" s="8">
        <f t="shared" si="16"/>
        <v>0</v>
      </c>
      <c r="N32" s="8">
        <f t="shared" si="16"/>
        <v>0</v>
      </c>
      <c r="O32" s="8">
        <f t="shared" si="16"/>
        <v>0</v>
      </c>
      <c r="P32" s="8">
        <f t="shared" si="16"/>
        <v>0</v>
      </c>
      <c r="Q32" s="8">
        <f t="shared" si="16"/>
        <v>0</v>
      </c>
      <c r="R32" s="8">
        <f t="shared" si="16"/>
        <v>0</v>
      </c>
      <c r="S32" s="8">
        <f t="shared" si="16"/>
        <v>39161.111111111109</v>
      </c>
      <c r="T32" s="8">
        <f t="shared" si="16"/>
        <v>69572.222222222219</v>
      </c>
      <c r="U32" s="8">
        <f t="shared" si="16"/>
        <v>99983.333333333343</v>
      </c>
      <c r="V32" s="8">
        <f t="shared" si="16"/>
        <v>125105.55555555555</v>
      </c>
      <c r="W32" s="8">
        <f t="shared" si="16"/>
        <v>125105.55555555555</v>
      </c>
      <c r="X32" s="8">
        <f t="shared" si="16"/>
        <v>184038.72222222222</v>
      </c>
      <c r="Y32" s="8">
        <f t="shared" si="16"/>
        <v>229839.38888888888</v>
      </c>
      <c r="Z32" s="8">
        <f t="shared" si="16"/>
        <v>275640.05555555556</v>
      </c>
      <c r="AA32" s="8">
        <f t="shared" si="16"/>
        <v>313475.38888888888</v>
      </c>
      <c r="AB32" s="8">
        <f t="shared" si="16"/>
        <v>313475.38888888888</v>
      </c>
      <c r="AC32" s="8">
        <f t="shared" si="16"/>
        <v>401368.72222222219</v>
      </c>
      <c r="AD32" s="8">
        <f t="shared" si="16"/>
        <v>464542.0555555555</v>
      </c>
      <c r="AE32" s="8">
        <f t="shared" si="16"/>
        <v>527225.74786324787</v>
      </c>
      <c r="AF32" s="8">
        <f t="shared" si="16"/>
        <v>583655.22222222213</v>
      </c>
      <c r="AG32" s="8">
        <f t="shared" si="16"/>
        <v>583655.22222222213</v>
      </c>
      <c r="AH32" s="8">
        <f t="shared" si="16"/>
        <v>583655.22222222213</v>
      </c>
      <c r="AI32" s="8">
        <f t="shared" si="16"/>
        <v>646837.11111111101</v>
      </c>
      <c r="AJ32" s="8">
        <f t="shared" si="16"/>
        <v>699846.03846153838</v>
      </c>
      <c r="AK32" s="8">
        <f t="shared" si="16"/>
        <v>760137.38888888876</v>
      </c>
      <c r="AL32" s="8">
        <f t="shared" si="16"/>
        <v>804669.16666666651</v>
      </c>
      <c r="AM32" s="8">
        <f t="shared" si="16"/>
        <v>804669.16666666651</v>
      </c>
      <c r="AN32" s="8">
        <f t="shared" si="16"/>
        <v>804669.16666666651</v>
      </c>
      <c r="AO32" s="8">
        <f t="shared" si="16"/>
        <v>865103.01282051275</v>
      </c>
      <c r="AP32" s="8">
        <f t="shared" si="16"/>
        <v>922669.16666666651</v>
      </c>
      <c r="AQ32" s="8">
        <f t="shared" si="16"/>
        <v>970815.94871794875</v>
      </c>
      <c r="AR32" s="8">
        <f t="shared" si="16"/>
        <v>1015462.3333333333</v>
      </c>
      <c r="AS32" s="8">
        <f t="shared" si="16"/>
        <v>1015462.3333333333</v>
      </c>
      <c r="AT32" s="8">
        <f t="shared" si="16"/>
        <v>1015462.3333333333</v>
      </c>
      <c r="AU32" s="8">
        <f t="shared" si="16"/>
        <v>1008160.5641025641</v>
      </c>
      <c r="AV32" s="8">
        <f t="shared" si="16"/>
        <v>1014383.6794871795</v>
      </c>
      <c r="AW32" s="8">
        <f t="shared" si="16"/>
        <v>1020948.8333333333</v>
      </c>
      <c r="AX32" s="8">
        <f t="shared" si="16"/>
        <v>1020948.8333333333</v>
      </c>
      <c r="AY32" s="8">
        <f t="shared" si="16"/>
        <v>1020948.8333333333</v>
      </c>
      <c r="AZ32" s="8">
        <f t="shared" si="16"/>
        <v>1020948.8333333333</v>
      </c>
      <c r="BA32" s="8">
        <f t="shared" si="16"/>
        <v>0</v>
      </c>
      <c r="BB32" s="8">
        <f t="shared" si="16"/>
        <v>0</v>
      </c>
      <c r="BC32" s="8">
        <f t="shared" si="16"/>
        <v>0</v>
      </c>
    </row>
    <row r="34" spans="2:55" s="15" customFormat="1" ht="19.5" thickBot="1" x14ac:dyDescent="0.35">
      <c r="B34" s="16" t="s">
        <v>142</v>
      </c>
      <c r="F34" s="32"/>
      <c r="I34" s="38"/>
    </row>
    <row r="36" spans="2:55" ht="15.75" x14ac:dyDescent="0.25">
      <c r="B36" s="44" t="s">
        <v>10</v>
      </c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</row>
    <row r="38" spans="2:55" x14ac:dyDescent="0.25">
      <c r="B38" s="8" t="s">
        <v>0</v>
      </c>
      <c r="C38" s="8" t="s">
        <v>1</v>
      </c>
      <c r="D38" s="8" t="s">
        <v>4</v>
      </c>
      <c r="E38" s="9" t="s">
        <v>74</v>
      </c>
      <c r="I38" s="35"/>
    </row>
    <row r="39" spans="2:55" x14ac:dyDescent="0.25">
      <c r="B39" s="5" t="s">
        <v>11</v>
      </c>
      <c r="C39" s="6">
        <v>2500</v>
      </c>
      <c r="D39" s="6" t="s">
        <v>5</v>
      </c>
      <c r="E39" s="5">
        <f>C39*(IF(D39="monthly",12,IF(D39="Quarterly",4,2)))</f>
        <v>10000</v>
      </c>
      <c r="H39" s="45" t="str">
        <f>B39</f>
        <v>Accountancy</v>
      </c>
      <c r="I39" s="60">
        <f>SUM(K39:BC39)</f>
        <v>-28987.5</v>
      </c>
      <c r="J39" s="45"/>
      <c r="K39" s="45">
        <f>(K$17&gt;0)*IF(MOD(DATEDIF($K$5,K$5,"m"),IF($D39="monthly",1,IF($D39="Quarterly",3,6)))=0,-$C39,0)*K$100</f>
        <v>0</v>
      </c>
      <c r="L39" s="45">
        <f t="shared" ref="L39:BC42" si="17">(L$17&gt;0)*IF(MOD(DATEDIF($K$5,L$5,"m"),IF($D39="monthly",1,IF($D39="Quarterly",3,6)))=0,-$C39,0)*L$100</f>
        <v>0</v>
      </c>
      <c r="M39" s="45">
        <f t="shared" si="17"/>
        <v>0</v>
      </c>
      <c r="N39" s="45">
        <f t="shared" si="17"/>
        <v>0</v>
      </c>
      <c r="O39" s="45">
        <f t="shared" si="17"/>
        <v>0</v>
      </c>
      <c r="P39" s="45">
        <f t="shared" si="17"/>
        <v>0</v>
      </c>
      <c r="Q39" s="45">
        <f t="shared" si="17"/>
        <v>0</v>
      </c>
      <c r="R39" s="45">
        <f t="shared" si="17"/>
        <v>0</v>
      </c>
      <c r="S39" s="45">
        <f t="shared" si="17"/>
        <v>0</v>
      </c>
      <c r="T39" s="45">
        <f t="shared" si="17"/>
        <v>-2500</v>
      </c>
      <c r="U39" s="45">
        <f t="shared" si="17"/>
        <v>0</v>
      </c>
      <c r="V39" s="45">
        <f t="shared" si="17"/>
        <v>0</v>
      </c>
      <c r="W39" s="45">
        <f t="shared" si="17"/>
        <v>-2587.5</v>
      </c>
      <c r="X39" s="45">
        <f t="shared" si="17"/>
        <v>0</v>
      </c>
      <c r="Y39" s="45">
        <f t="shared" si="17"/>
        <v>0</v>
      </c>
      <c r="Z39" s="45">
        <f t="shared" si="17"/>
        <v>-2587.5</v>
      </c>
      <c r="AA39" s="45">
        <f t="shared" si="17"/>
        <v>0</v>
      </c>
      <c r="AB39" s="45">
        <f t="shared" si="17"/>
        <v>0</v>
      </c>
      <c r="AC39" s="45">
        <f t="shared" si="17"/>
        <v>-2587.5</v>
      </c>
      <c r="AD39" s="45">
        <f t="shared" si="17"/>
        <v>0</v>
      </c>
      <c r="AE39" s="45">
        <f t="shared" si="17"/>
        <v>0</v>
      </c>
      <c r="AF39" s="45">
        <f t="shared" si="17"/>
        <v>-2587.5</v>
      </c>
      <c r="AG39" s="45">
        <f t="shared" si="17"/>
        <v>0</v>
      </c>
      <c r="AH39" s="45">
        <f t="shared" si="17"/>
        <v>0</v>
      </c>
      <c r="AI39" s="45">
        <f t="shared" si="17"/>
        <v>-2675</v>
      </c>
      <c r="AJ39" s="45">
        <f t="shared" si="17"/>
        <v>0</v>
      </c>
      <c r="AK39" s="45">
        <f t="shared" si="17"/>
        <v>0</v>
      </c>
      <c r="AL39" s="45">
        <f t="shared" si="17"/>
        <v>-2675</v>
      </c>
      <c r="AM39" s="45">
        <f t="shared" si="17"/>
        <v>0</v>
      </c>
      <c r="AN39" s="45">
        <f t="shared" si="17"/>
        <v>0</v>
      </c>
      <c r="AO39" s="45">
        <f t="shared" si="17"/>
        <v>-2675</v>
      </c>
      <c r="AP39" s="45">
        <f t="shared" si="17"/>
        <v>0</v>
      </c>
      <c r="AQ39" s="45">
        <f t="shared" si="17"/>
        <v>0</v>
      </c>
      <c r="AR39" s="45">
        <f t="shared" si="17"/>
        <v>-2675</v>
      </c>
      <c r="AS39" s="45">
        <f t="shared" si="17"/>
        <v>0</v>
      </c>
      <c r="AT39" s="45">
        <f t="shared" si="17"/>
        <v>0</v>
      </c>
      <c r="AU39" s="45">
        <f t="shared" si="17"/>
        <v>-2675</v>
      </c>
      <c r="AV39" s="45">
        <f t="shared" si="17"/>
        <v>0</v>
      </c>
      <c r="AW39" s="45">
        <f t="shared" si="17"/>
        <v>0</v>
      </c>
      <c r="AX39" s="45">
        <f t="shared" si="17"/>
        <v>-2762.5</v>
      </c>
      <c r="AY39" s="45">
        <f t="shared" si="17"/>
        <v>0</v>
      </c>
      <c r="AZ39" s="45">
        <f t="shared" si="17"/>
        <v>0</v>
      </c>
      <c r="BA39" s="45">
        <f t="shared" si="17"/>
        <v>0</v>
      </c>
      <c r="BB39" s="45">
        <f t="shared" si="17"/>
        <v>0</v>
      </c>
      <c r="BC39" s="45">
        <f t="shared" si="17"/>
        <v>0</v>
      </c>
    </row>
    <row r="40" spans="2:55" x14ac:dyDescent="0.25">
      <c r="B40" s="5" t="s">
        <v>12</v>
      </c>
      <c r="C40" s="6">
        <v>15000</v>
      </c>
      <c r="D40" s="6" t="s">
        <v>7</v>
      </c>
      <c r="E40" s="5">
        <f>C40*(IF(D40="monthly",12,IF(D40="Quarterly",4,2)))</f>
        <v>30000</v>
      </c>
      <c r="H40" s="1" t="str">
        <f t="shared" ref="H40:H42" si="18">B40</f>
        <v>Insurance</v>
      </c>
      <c r="I40" s="61">
        <f t="shared" ref="I40:I42" si="19">SUM(K40:BC40)</f>
        <v>-79200</v>
      </c>
      <c r="K40" s="1">
        <f t="shared" ref="K40:Z41" si="20">(K$17&gt;0)*IF(MOD(DATEDIF($K$5,K$5,"m"),IF($D40="monthly",1,IF($D40="Quarterly",3,6)))=0,-$C40,0)*K$100</f>
        <v>0</v>
      </c>
      <c r="L40" s="1">
        <f t="shared" si="20"/>
        <v>0</v>
      </c>
      <c r="M40" s="1">
        <f t="shared" si="20"/>
        <v>0</v>
      </c>
      <c r="N40" s="1">
        <f t="shared" si="20"/>
        <v>0</v>
      </c>
      <c r="O40" s="1">
        <f t="shared" si="20"/>
        <v>0</v>
      </c>
      <c r="P40" s="1">
        <f t="shared" si="20"/>
        <v>0</v>
      </c>
      <c r="Q40" s="1">
        <f t="shared" si="20"/>
        <v>0</v>
      </c>
      <c r="R40" s="1">
        <f t="shared" si="20"/>
        <v>0</v>
      </c>
      <c r="S40" s="1">
        <f t="shared" si="20"/>
        <v>0</v>
      </c>
      <c r="T40" s="1">
        <f t="shared" si="20"/>
        <v>0</v>
      </c>
      <c r="U40" s="1">
        <f t="shared" si="20"/>
        <v>0</v>
      </c>
      <c r="V40" s="1">
        <f t="shared" si="20"/>
        <v>0</v>
      </c>
      <c r="W40" s="1">
        <f t="shared" si="20"/>
        <v>-15524.999999999998</v>
      </c>
      <c r="X40" s="1">
        <f t="shared" si="20"/>
        <v>0</v>
      </c>
      <c r="Y40" s="1">
        <f t="shared" si="20"/>
        <v>0</v>
      </c>
      <c r="Z40" s="1">
        <f t="shared" si="20"/>
        <v>0</v>
      </c>
      <c r="AA40" s="1">
        <f t="shared" si="17"/>
        <v>0</v>
      </c>
      <c r="AB40" s="1">
        <f t="shared" si="17"/>
        <v>0</v>
      </c>
      <c r="AC40" s="1">
        <f t="shared" si="17"/>
        <v>-15524.999999999998</v>
      </c>
      <c r="AD40" s="1">
        <f t="shared" si="17"/>
        <v>0</v>
      </c>
      <c r="AE40" s="1">
        <f t="shared" si="17"/>
        <v>0</v>
      </c>
      <c r="AF40" s="1">
        <f t="shared" si="17"/>
        <v>0</v>
      </c>
      <c r="AG40" s="1">
        <f t="shared" si="17"/>
        <v>0</v>
      </c>
      <c r="AH40" s="1">
        <f t="shared" si="17"/>
        <v>0</v>
      </c>
      <c r="AI40" s="1">
        <f t="shared" si="17"/>
        <v>-16050.000000000002</v>
      </c>
      <c r="AJ40" s="1">
        <f t="shared" si="17"/>
        <v>0</v>
      </c>
      <c r="AK40" s="1">
        <f t="shared" si="17"/>
        <v>0</v>
      </c>
      <c r="AL40" s="1">
        <f t="shared" si="17"/>
        <v>0</v>
      </c>
      <c r="AM40" s="1">
        <f t="shared" si="17"/>
        <v>0</v>
      </c>
      <c r="AN40" s="1">
        <f t="shared" si="17"/>
        <v>0</v>
      </c>
      <c r="AO40" s="1">
        <f t="shared" si="17"/>
        <v>-16050.000000000002</v>
      </c>
      <c r="AP40" s="1">
        <f t="shared" si="17"/>
        <v>0</v>
      </c>
      <c r="AQ40" s="1">
        <f t="shared" si="17"/>
        <v>0</v>
      </c>
      <c r="AR40" s="1">
        <f t="shared" si="17"/>
        <v>0</v>
      </c>
      <c r="AS40" s="1">
        <f t="shared" si="17"/>
        <v>0</v>
      </c>
      <c r="AT40" s="1">
        <f t="shared" si="17"/>
        <v>0</v>
      </c>
      <c r="AU40" s="1">
        <f t="shared" si="17"/>
        <v>-16050.000000000002</v>
      </c>
      <c r="AV40" s="1">
        <f t="shared" si="17"/>
        <v>0</v>
      </c>
      <c r="AW40" s="1">
        <f t="shared" si="17"/>
        <v>0</v>
      </c>
      <c r="AX40" s="1">
        <f t="shared" si="17"/>
        <v>0</v>
      </c>
      <c r="AY40" s="1">
        <f t="shared" si="17"/>
        <v>0</v>
      </c>
      <c r="AZ40" s="1">
        <f t="shared" si="17"/>
        <v>0</v>
      </c>
      <c r="BA40" s="1">
        <f t="shared" si="17"/>
        <v>0</v>
      </c>
      <c r="BB40" s="1">
        <f t="shared" si="17"/>
        <v>0</v>
      </c>
      <c r="BC40" s="1">
        <f t="shared" si="17"/>
        <v>0</v>
      </c>
    </row>
    <row r="41" spans="2:55" x14ac:dyDescent="0.25">
      <c r="B41" s="5" t="s">
        <v>13</v>
      </c>
      <c r="C41" s="6">
        <v>150</v>
      </c>
      <c r="D41" s="6" t="s">
        <v>6</v>
      </c>
      <c r="E41" s="5">
        <f>C41*(IF(D41="monthly",12,IF(D41="Quarterly",4,2)))</f>
        <v>1800</v>
      </c>
      <c r="H41" s="45" t="str">
        <f t="shared" si="18"/>
        <v>Bank Charges</v>
      </c>
      <c r="I41" s="60">
        <f t="shared" si="19"/>
        <v>-5378.25</v>
      </c>
      <c r="J41" s="45"/>
      <c r="K41" s="45">
        <f t="shared" si="20"/>
        <v>0</v>
      </c>
      <c r="L41" s="45">
        <f t="shared" si="17"/>
        <v>0</v>
      </c>
      <c r="M41" s="45">
        <f t="shared" si="17"/>
        <v>0</v>
      </c>
      <c r="N41" s="45">
        <f t="shared" si="17"/>
        <v>0</v>
      </c>
      <c r="O41" s="45">
        <f t="shared" si="17"/>
        <v>0</v>
      </c>
      <c r="P41" s="45">
        <f t="shared" si="17"/>
        <v>0</v>
      </c>
      <c r="Q41" s="45">
        <f t="shared" si="17"/>
        <v>0</v>
      </c>
      <c r="R41" s="45">
        <f t="shared" si="17"/>
        <v>0</v>
      </c>
      <c r="S41" s="45">
        <f t="shared" si="17"/>
        <v>-150</v>
      </c>
      <c r="T41" s="45">
        <f t="shared" si="17"/>
        <v>-150</v>
      </c>
      <c r="U41" s="45">
        <f t="shared" si="17"/>
        <v>-150</v>
      </c>
      <c r="V41" s="45">
        <f t="shared" si="17"/>
        <v>-150</v>
      </c>
      <c r="W41" s="45">
        <f t="shared" si="17"/>
        <v>-155.25</v>
      </c>
      <c r="X41" s="45">
        <f t="shared" si="17"/>
        <v>-155.25</v>
      </c>
      <c r="Y41" s="45">
        <f t="shared" si="17"/>
        <v>-155.25</v>
      </c>
      <c r="Z41" s="45">
        <f t="shared" si="17"/>
        <v>-155.25</v>
      </c>
      <c r="AA41" s="45">
        <f t="shared" si="17"/>
        <v>-155.25</v>
      </c>
      <c r="AB41" s="45">
        <f t="shared" si="17"/>
        <v>-155.25</v>
      </c>
      <c r="AC41" s="45">
        <f t="shared" si="17"/>
        <v>-155.25</v>
      </c>
      <c r="AD41" s="45">
        <f t="shared" si="17"/>
        <v>-155.25</v>
      </c>
      <c r="AE41" s="45">
        <f t="shared" si="17"/>
        <v>-155.25</v>
      </c>
      <c r="AF41" s="45">
        <f t="shared" si="17"/>
        <v>-155.25</v>
      </c>
      <c r="AG41" s="45">
        <f t="shared" si="17"/>
        <v>-155.25</v>
      </c>
      <c r="AH41" s="45">
        <f t="shared" si="17"/>
        <v>-155.25</v>
      </c>
      <c r="AI41" s="45">
        <f t="shared" si="17"/>
        <v>-160.5</v>
      </c>
      <c r="AJ41" s="45">
        <f t="shared" si="17"/>
        <v>-160.5</v>
      </c>
      <c r="AK41" s="45">
        <f t="shared" si="17"/>
        <v>-160.5</v>
      </c>
      <c r="AL41" s="45">
        <f t="shared" si="17"/>
        <v>-160.5</v>
      </c>
      <c r="AM41" s="45">
        <f t="shared" si="17"/>
        <v>-160.5</v>
      </c>
      <c r="AN41" s="45">
        <f t="shared" si="17"/>
        <v>-160.5</v>
      </c>
      <c r="AO41" s="45">
        <f t="shared" si="17"/>
        <v>-160.5</v>
      </c>
      <c r="AP41" s="45">
        <f t="shared" si="17"/>
        <v>-160.5</v>
      </c>
      <c r="AQ41" s="45">
        <f t="shared" si="17"/>
        <v>-160.5</v>
      </c>
      <c r="AR41" s="45">
        <f t="shared" si="17"/>
        <v>-160.5</v>
      </c>
      <c r="AS41" s="45">
        <f t="shared" si="17"/>
        <v>-160.5</v>
      </c>
      <c r="AT41" s="45">
        <f t="shared" si="17"/>
        <v>-160.5</v>
      </c>
      <c r="AU41" s="45">
        <f t="shared" si="17"/>
        <v>-160.5</v>
      </c>
      <c r="AV41" s="45">
        <f t="shared" si="17"/>
        <v>-165.75</v>
      </c>
      <c r="AW41" s="45">
        <f t="shared" si="17"/>
        <v>-165.75</v>
      </c>
      <c r="AX41" s="45">
        <f t="shared" si="17"/>
        <v>-165.75</v>
      </c>
      <c r="AY41" s="45">
        <f t="shared" si="17"/>
        <v>-165.75</v>
      </c>
      <c r="AZ41" s="45">
        <f t="shared" si="17"/>
        <v>-165.75</v>
      </c>
      <c r="BA41" s="45">
        <f t="shared" si="17"/>
        <v>0</v>
      </c>
      <c r="BB41" s="45">
        <f t="shared" si="17"/>
        <v>0</v>
      </c>
      <c r="BC41" s="45">
        <f t="shared" si="17"/>
        <v>0</v>
      </c>
    </row>
    <row r="42" spans="2:55" x14ac:dyDescent="0.25">
      <c r="B42" s="5" t="s">
        <v>14</v>
      </c>
      <c r="C42" s="6">
        <v>7500</v>
      </c>
      <c r="D42" s="6" t="s">
        <v>7</v>
      </c>
      <c r="E42" s="5">
        <f>C42*(IF(D42="monthly",12,IF(D42="Quarterly",4,2)))</f>
        <v>15000</v>
      </c>
      <c r="H42" s="1" t="str">
        <f t="shared" si="18"/>
        <v>Valuations</v>
      </c>
      <c r="I42" s="61">
        <f t="shared" si="19"/>
        <v>-39600</v>
      </c>
      <c r="K42" s="1">
        <f>(K$17&gt;0)*IF(MOD(DATEDIF($K$5,K$5,"m"),IF($D42="monthly",1,IF($D42="Quarterly",3,6)))=0,-$C42,0)*K$100</f>
        <v>0</v>
      </c>
      <c r="L42" s="1">
        <f t="shared" si="17"/>
        <v>0</v>
      </c>
      <c r="M42" s="1">
        <f t="shared" si="17"/>
        <v>0</v>
      </c>
      <c r="N42" s="1">
        <f t="shared" si="17"/>
        <v>0</v>
      </c>
      <c r="O42" s="1">
        <f t="shared" si="17"/>
        <v>0</v>
      </c>
      <c r="P42" s="1">
        <f t="shared" si="17"/>
        <v>0</v>
      </c>
      <c r="Q42" s="1">
        <f t="shared" si="17"/>
        <v>0</v>
      </c>
      <c r="R42" s="1">
        <f t="shared" si="17"/>
        <v>0</v>
      </c>
      <c r="S42" s="1">
        <f t="shared" si="17"/>
        <v>0</v>
      </c>
      <c r="T42" s="1">
        <f t="shared" si="17"/>
        <v>0</v>
      </c>
      <c r="U42" s="1">
        <f t="shared" si="17"/>
        <v>0</v>
      </c>
      <c r="V42" s="1">
        <f t="shared" si="17"/>
        <v>0</v>
      </c>
      <c r="W42" s="1">
        <f t="shared" si="17"/>
        <v>-7762.4999999999991</v>
      </c>
      <c r="X42" s="1">
        <f t="shared" si="17"/>
        <v>0</v>
      </c>
      <c r="Y42" s="1">
        <f t="shared" si="17"/>
        <v>0</v>
      </c>
      <c r="Z42" s="1">
        <f t="shared" si="17"/>
        <v>0</v>
      </c>
      <c r="AA42" s="1">
        <f t="shared" si="17"/>
        <v>0</v>
      </c>
      <c r="AB42" s="1">
        <f t="shared" si="17"/>
        <v>0</v>
      </c>
      <c r="AC42" s="1">
        <f t="shared" si="17"/>
        <v>-7762.4999999999991</v>
      </c>
      <c r="AD42" s="1">
        <f t="shared" si="17"/>
        <v>0</v>
      </c>
      <c r="AE42" s="1">
        <f t="shared" si="17"/>
        <v>0</v>
      </c>
      <c r="AF42" s="1">
        <f t="shared" si="17"/>
        <v>0</v>
      </c>
      <c r="AG42" s="1">
        <f t="shared" si="17"/>
        <v>0</v>
      </c>
      <c r="AH42" s="1">
        <f t="shared" si="17"/>
        <v>0</v>
      </c>
      <c r="AI42" s="1">
        <f t="shared" si="17"/>
        <v>-8025.0000000000009</v>
      </c>
      <c r="AJ42" s="1">
        <f t="shared" si="17"/>
        <v>0</v>
      </c>
      <c r="AK42" s="1">
        <f t="shared" si="17"/>
        <v>0</v>
      </c>
      <c r="AL42" s="1">
        <f t="shared" si="17"/>
        <v>0</v>
      </c>
      <c r="AM42" s="1">
        <f t="shared" si="17"/>
        <v>0</v>
      </c>
      <c r="AN42" s="1">
        <f t="shared" si="17"/>
        <v>0</v>
      </c>
      <c r="AO42" s="1">
        <f t="shared" si="17"/>
        <v>-8025.0000000000009</v>
      </c>
      <c r="AP42" s="1">
        <f t="shared" si="17"/>
        <v>0</v>
      </c>
      <c r="AQ42" s="1">
        <f t="shared" si="17"/>
        <v>0</v>
      </c>
      <c r="AR42" s="1">
        <f t="shared" si="17"/>
        <v>0</v>
      </c>
      <c r="AS42" s="1">
        <f t="shared" si="17"/>
        <v>0</v>
      </c>
      <c r="AT42" s="1">
        <f t="shared" si="17"/>
        <v>0</v>
      </c>
      <c r="AU42" s="1">
        <f t="shared" si="17"/>
        <v>-8025.0000000000009</v>
      </c>
      <c r="AV42" s="1">
        <f t="shared" si="17"/>
        <v>0</v>
      </c>
      <c r="AW42" s="1">
        <f t="shared" si="17"/>
        <v>0</v>
      </c>
      <c r="AX42" s="1">
        <f t="shared" si="17"/>
        <v>0</v>
      </c>
      <c r="AY42" s="1">
        <f t="shared" si="17"/>
        <v>0</v>
      </c>
      <c r="AZ42" s="1">
        <f t="shared" si="17"/>
        <v>0</v>
      </c>
      <c r="BA42" s="1">
        <f t="shared" si="17"/>
        <v>0</v>
      </c>
      <c r="BB42" s="1">
        <f t="shared" si="17"/>
        <v>0</v>
      </c>
      <c r="BC42" s="1">
        <f t="shared" si="17"/>
        <v>0</v>
      </c>
    </row>
    <row r="43" spans="2:55" x14ac:dyDescent="0.25">
      <c r="B43" s="5"/>
      <c r="C43" s="6"/>
      <c r="D43" s="13"/>
      <c r="E43" s="5">
        <f>C43*(IF(D43="monthly",12,IF(D43="Quarterly",4,2)))</f>
        <v>0</v>
      </c>
    </row>
    <row r="44" spans="2:55" x14ac:dyDescent="0.25">
      <c r="B44" s="8" t="s">
        <v>15</v>
      </c>
      <c r="C44" s="8"/>
      <c r="D44" s="8"/>
      <c r="E44" s="8">
        <f>SUM(E39:E43)</f>
        <v>56800</v>
      </c>
      <c r="H44" s="8" t="str">
        <f>B44</f>
        <v>Total Admin Costs</v>
      </c>
      <c r="I44" s="8">
        <f t="shared" ref="I44" si="21">SUM(K44:BC44)</f>
        <v>-153165.75</v>
      </c>
      <c r="J44" s="8"/>
      <c r="K44" s="8">
        <f>SUM(K39:K42)</f>
        <v>0</v>
      </c>
      <c r="L44" s="8">
        <f t="shared" ref="L44:BC44" si="22">SUM(L39:L42)</f>
        <v>0</v>
      </c>
      <c r="M44" s="8">
        <f t="shared" si="22"/>
        <v>0</v>
      </c>
      <c r="N44" s="8">
        <f t="shared" si="22"/>
        <v>0</v>
      </c>
      <c r="O44" s="8">
        <f t="shared" si="22"/>
        <v>0</v>
      </c>
      <c r="P44" s="8">
        <f t="shared" si="22"/>
        <v>0</v>
      </c>
      <c r="Q44" s="8">
        <f t="shared" si="22"/>
        <v>0</v>
      </c>
      <c r="R44" s="8">
        <f t="shared" si="22"/>
        <v>0</v>
      </c>
      <c r="S44" s="8">
        <f t="shared" si="22"/>
        <v>-150</v>
      </c>
      <c r="T44" s="8">
        <f t="shared" si="22"/>
        <v>-2650</v>
      </c>
      <c r="U44" s="8">
        <f t="shared" si="22"/>
        <v>-150</v>
      </c>
      <c r="V44" s="8">
        <f t="shared" si="22"/>
        <v>-150</v>
      </c>
      <c r="W44" s="8">
        <f t="shared" si="22"/>
        <v>-26030.25</v>
      </c>
      <c r="X44" s="8">
        <f t="shared" si="22"/>
        <v>-155.25</v>
      </c>
      <c r="Y44" s="8">
        <f t="shared" si="22"/>
        <v>-155.25</v>
      </c>
      <c r="Z44" s="8">
        <f t="shared" si="22"/>
        <v>-2742.75</v>
      </c>
      <c r="AA44" s="8">
        <f t="shared" si="22"/>
        <v>-155.25</v>
      </c>
      <c r="AB44" s="8">
        <f t="shared" si="22"/>
        <v>-155.25</v>
      </c>
      <c r="AC44" s="8">
        <f t="shared" si="22"/>
        <v>-26030.25</v>
      </c>
      <c r="AD44" s="8">
        <f t="shared" si="22"/>
        <v>-155.25</v>
      </c>
      <c r="AE44" s="8">
        <f t="shared" si="22"/>
        <v>-155.25</v>
      </c>
      <c r="AF44" s="8">
        <f t="shared" si="22"/>
        <v>-2742.75</v>
      </c>
      <c r="AG44" s="8">
        <f t="shared" si="22"/>
        <v>-155.25</v>
      </c>
      <c r="AH44" s="8">
        <f t="shared" si="22"/>
        <v>-155.25</v>
      </c>
      <c r="AI44" s="8">
        <f t="shared" si="22"/>
        <v>-26910.5</v>
      </c>
      <c r="AJ44" s="8">
        <f t="shared" si="22"/>
        <v>-160.5</v>
      </c>
      <c r="AK44" s="8">
        <f t="shared" si="22"/>
        <v>-160.5</v>
      </c>
      <c r="AL44" s="8">
        <f t="shared" si="22"/>
        <v>-2835.5</v>
      </c>
      <c r="AM44" s="8">
        <f t="shared" si="22"/>
        <v>-160.5</v>
      </c>
      <c r="AN44" s="8">
        <f t="shared" si="22"/>
        <v>-160.5</v>
      </c>
      <c r="AO44" s="8">
        <f t="shared" si="22"/>
        <v>-26910.5</v>
      </c>
      <c r="AP44" s="8">
        <f t="shared" si="22"/>
        <v>-160.5</v>
      </c>
      <c r="AQ44" s="8">
        <f t="shared" si="22"/>
        <v>-160.5</v>
      </c>
      <c r="AR44" s="8">
        <f t="shared" si="22"/>
        <v>-2835.5</v>
      </c>
      <c r="AS44" s="8">
        <f t="shared" si="22"/>
        <v>-160.5</v>
      </c>
      <c r="AT44" s="8">
        <f t="shared" si="22"/>
        <v>-160.5</v>
      </c>
      <c r="AU44" s="8">
        <f t="shared" si="22"/>
        <v>-26910.5</v>
      </c>
      <c r="AV44" s="8">
        <f t="shared" si="22"/>
        <v>-165.75</v>
      </c>
      <c r="AW44" s="8">
        <f t="shared" si="22"/>
        <v>-165.75</v>
      </c>
      <c r="AX44" s="8">
        <f t="shared" si="22"/>
        <v>-2928.25</v>
      </c>
      <c r="AY44" s="8">
        <f t="shared" si="22"/>
        <v>-165.75</v>
      </c>
      <c r="AZ44" s="8">
        <f t="shared" si="22"/>
        <v>-165.75</v>
      </c>
      <c r="BA44" s="8">
        <f t="shared" si="22"/>
        <v>0</v>
      </c>
      <c r="BB44" s="8">
        <f t="shared" si="22"/>
        <v>0</v>
      </c>
      <c r="BC44" s="8">
        <f t="shared" si="22"/>
        <v>0</v>
      </c>
    </row>
    <row r="46" spans="2:55" ht="15.75" x14ac:dyDescent="0.25">
      <c r="B46" s="44" t="s">
        <v>3</v>
      </c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</row>
    <row r="48" spans="2:55" x14ac:dyDescent="0.25">
      <c r="B48" s="8" t="s">
        <v>0</v>
      </c>
      <c r="C48" s="8" t="s">
        <v>1</v>
      </c>
      <c r="D48" s="8" t="s">
        <v>2</v>
      </c>
      <c r="E48" s="9" t="s">
        <v>74</v>
      </c>
      <c r="I48" s="35"/>
    </row>
    <row r="49" spans="2:55" x14ac:dyDescent="0.25">
      <c r="B49" s="5" t="s">
        <v>76</v>
      </c>
      <c r="C49" s="6">
        <v>600</v>
      </c>
      <c r="D49" s="5" t="s">
        <v>9</v>
      </c>
      <c r="E49" s="5">
        <f>C49*'Accom_Phase Schedule'!$D$45</f>
        <v>300000</v>
      </c>
      <c r="H49" s="45" t="str">
        <f>B49</f>
        <v>Local Property Tax p/a</v>
      </c>
      <c r="I49" s="60">
        <f>SUM(K49:BC49)</f>
        <v>-697800</v>
      </c>
      <c r="J49" s="45"/>
      <c r="K49" s="45" cm="1">
        <f t="array" ref="K49">(K$5&lt;$C$99)*(SUMPRODUCT(--(K$5&gt;='Accom_Phase Schedule'!$E$65:$E$69),--(MOD(MONTH(K$5),12)=MOD(MONTH('Accom_Phase Schedule'!$E$65:$E$69),12)),'Accom_Phase Schedule'!$J$53:$J$57)*-$C49)*K$100</f>
        <v>0</v>
      </c>
      <c r="L49" s="45" cm="1">
        <f t="array" ref="L49">(L$5&lt;$C$99)*(SUMPRODUCT(--(L$5&gt;='Accom_Phase Schedule'!$E$65:$E$69),--(MOD(MONTH(L$5),12)=MOD(MONTH('Accom_Phase Schedule'!$E$65:$E$69),12)),'Accom_Phase Schedule'!$J$53:$J$57)*-$C49)*L$100</f>
        <v>0</v>
      </c>
      <c r="M49" s="45" cm="1">
        <f t="array" ref="M49">(M$5&lt;$C$99)*(SUMPRODUCT(--(M$5&gt;='Accom_Phase Schedule'!$E$65:$E$69),--(MOD(MONTH(M$5),12)=MOD(MONTH('Accom_Phase Schedule'!$E$65:$E$69),12)),'Accom_Phase Schedule'!$J$53:$J$57)*-$C49)*M$100</f>
        <v>0</v>
      </c>
      <c r="N49" s="45" cm="1">
        <f t="array" ref="N49">(N$5&lt;$C$99)*(SUMPRODUCT(--(N$5&gt;='Accom_Phase Schedule'!$E$65:$E$69),--(MOD(MONTH(N$5),12)=MOD(MONTH('Accom_Phase Schedule'!$E$65:$E$69),12)),'Accom_Phase Schedule'!$J$53:$J$57)*-$C49)*N$100</f>
        <v>0</v>
      </c>
      <c r="O49" s="45" cm="1">
        <f t="array" ref="O49">(O$5&lt;$C$99)*(SUMPRODUCT(--(O$5&gt;='Accom_Phase Schedule'!$E$65:$E$69),--(MOD(MONTH(O$5),12)=MOD(MONTH('Accom_Phase Schedule'!$E$65:$E$69),12)),'Accom_Phase Schedule'!$J$53:$J$57)*-$C49)*O$100</f>
        <v>0</v>
      </c>
      <c r="P49" s="45" cm="1">
        <f t="array" ref="P49">(P$5&lt;$C$99)*(SUMPRODUCT(--(P$5&gt;='Accom_Phase Schedule'!$E$65:$E$69),--(MOD(MONTH(P$5),12)=MOD(MONTH('Accom_Phase Schedule'!$E$65:$E$69),12)),'Accom_Phase Schedule'!$J$53:$J$57)*-$C49)*P$100</f>
        <v>0</v>
      </c>
      <c r="Q49" s="45" cm="1">
        <f t="array" ref="Q49">(Q$5&lt;$C$99)*(SUMPRODUCT(--(Q$5&gt;='Accom_Phase Schedule'!$E$65:$E$69),--(MOD(MONTH(Q$5),12)=MOD(MONTH('Accom_Phase Schedule'!$E$65:$E$69),12)),'Accom_Phase Schedule'!$J$53:$J$57)*-$C49)*Q$100</f>
        <v>0</v>
      </c>
      <c r="R49" s="45" cm="1">
        <f t="array" ref="R49">(R$5&lt;$C$99)*(SUMPRODUCT(--(R$5&gt;='Accom_Phase Schedule'!$E$65:$E$69),--(MOD(MONTH(R$5),12)=MOD(MONTH('Accom_Phase Schedule'!$E$65:$E$69),12)),'Accom_Phase Schedule'!$J$53:$J$57)*-$C49)*R$100</f>
        <v>0</v>
      </c>
      <c r="S49" s="45" cm="1">
        <f t="array" ref="S49">(S$5&lt;$C$99)*(SUMPRODUCT(--(S$5&gt;='Accom_Phase Schedule'!$E$65:$E$69),--(MOD(MONTH(S$5),12)=MOD(MONTH('Accom_Phase Schedule'!$E$65:$E$69),12)),'Accom_Phase Schedule'!$J$53:$J$57)*-$C49)*S$100</f>
        <v>-60000</v>
      </c>
      <c r="T49" s="45" cm="1">
        <f t="array" ref="T49">(T$5&lt;$C$99)*(SUMPRODUCT(--(T$5&gt;='Accom_Phase Schedule'!$E$65:$E$69),--(MOD(MONTH(T$5),12)=MOD(MONTH('Accom_Phase Schedule'!$E$65:$E$69),12)),'Accom_Phase Schedule'!$J$53:$J$57)*-$C49)*T$100</f>
        <v>0</v>
      </c>
      <c r="U49" s="45" cm="1">
        <f t="array" ref="U49">(U$5&lt;$C$99)*(SUMPRODUCT(--(U$5&gt;='Accom_Phase Schedule'!$E$65:$E$69),--(MOD(MONTH(U$5),12)=MOD(MONTH('Accom_Phase Schedule'!$E$65:$E$69),12)),'Accom_Phase Schedule'!$J$53:$J$57)*-$C49)*U$100</f>
        <v>0</v>
      </c>
      <c r="V49" s="45" cm="1">
        <f t="array" ref="V49">(V$5&lt;$C$99)*(SUMPRODUCT(--(V$5&gt;='Accom_Phase Schedule'!$E$65:$E$69),--(MOD(MONTH(V$5),12)=MOD(MONTH('Accom_Phase Schedule'!$E$65:$E$69),12)),'Accom_Phase Schedule'!$J$53:$J$57)*-$C49)*V$100</f>
        <v>0</v>
      </c>
      <c r="W49" s="45" cm="1">
        <f t="array" ref="W49">(W$5&lt;$C$99)*(SUMPRODUCT(--(W$5&gt;='Accom_Phase Schedule'!$E$65:$E$69),--(MOD(MONTH(W$5),12)=MOD(MONTH('Accom_Phase Schedule'!$E$65:$E$69),12)),'Accom_Phase Schedule'!$J$53:$J$57)*-$C49)*W$100</f>
        <v>0</v>
      </c>
      <c r="X49" s="45" cm="1">
        <f t="array" ref="X49">(X$5&lt;$C$99)*(SUMPRODUCT(--(X$5&gt;='Accom_Phase Schedule'!$E$65:$E$69),--(MOD(MONTH(X$5),12)=MOD(MONTH('Accom_Phase Schedule'!$E$65:$E$69),12)),'Accom_Phase Schedule'!$J$53:$J$57)*-$C49)*X$100</f>
        <v>-62099.999999999993</v>
      </c>
      <c r="Y49" s="45" cm="1">
        <f t="array" ref="Y49">(Y$5&lt;$C$99)*(SUMPRODUCT(--(Y$5&gt;='Accom_Phase Schedule'!$E$65:$E$69),--(MOD(MONTH(Y$5),12)=MOD(MONTH('Accom_Phase Schedule'!$E$65:$E$69),12)),'Accom_Phase Schedule'!$J$53:$J$57)*-$C49)*Y$100</f>
        <v>0</v>
      </c>
      <c r="Z49" s="45" cm="1">
        <f t="array" ref="Z49">(Z$5&lt;$C$99)*(SUMPRODUCT(--(Z$5&gt;='Accom_Phase Schedule'!$E$65:$E$69),--(MOD(MONTH(Z$5),12)=MOD(MONTH('Accom_Phase Schedule'!$E$65:$E$69),12)),'Accom_Phase Schedule'!$J$53:$J$57)*-$C49)*Z$100</f>
        <v>0</v>
      </c>
      <c r="AA49" s="45" cm="1">
        <f t="array" ref="AA49">(AA$5&lt;$C$99)*(SUMPRODUCT(--(AA$5&gt;='Accom_Phase Schedule'!$E$65:$E$69),--(MOD(MONTH(AA$5),12)=MOD(MONTH('Accom_Phase Schedule'!$E$65:$E$69),12)),'Accom_Phase Schedule'!$J$53:$J$57)*-$C49)*AA$100</f>
        <v>0</v>
      </c>
      <c r="AB49" s="45" cm="1">
        <f t="array" ref="AB49">(AB$5&lt;$C$99)*(SUMPRODUCT(--(AB$5&gt;='Accom_Phase Schedule'!$E$65:$E$69),--(MOD(MONTH(AB$5),12)=MOD(MONTH('Accom_Phase Schedule'!$E$65:$E$69),12)),'Accom_Phase Schedule'!$J$53:$J$57)*-$C49)*AB$100</f>
        <v>0</v>
      </c>
      <c r="AC49" s="45" cm="1">
        <f t="array" ref="AC49">(AC$5&lt;$C$99)*(SUMPRODUCT(--(AC$5&gt;='Accom_Phase Schedule'!$E$65:$E$69),--(MOD(MONTH(AC$5),12)=MOD(MONTH('Accom_Phase Schedule'!$E$65:$E$69),12)),'Accom_Phase Schedule'!$J$53:$J$57)*-$C49)*AC$100</f>
        <v>-62099.999999999993</v>
      </c>
      <c r="AD49" s="45" cm="1">
        <f t="array" ref="AD49">(AD$5&lt;$C$99)*(SUMPRODUCT(--(AD$5&gt;='Accom_Phase Schedule'!$E$65:$E$69),--(MOD(MONTH(AD$5),12)=MOD(MONTH('Accom_Phase Schedule'!$E$65:$E$69),12)),'Accom_Phase Schedule'!$J$53:$J$57)*-$C49)*AD$100</f>
        <v>0</v>
      </c>
      <c r="AE49" s="45" cm="1">
        <f t="array" ref="AE49">(AE$5&lt;$C$99)*(SUMPRODUCT(--(AE$5&gt;='Accom_Phase Schedule'!$E$65:$E$69),--(MOD(MONTH(AE$5),12)=MOD(MONTH('Accom_Phase Schedule'!$E$65:$E$69),12)),'Accom_Phase Schedule'!$J$53:$J$57)*-$C49)*AE$100</f>
        <v>-62099.999999999993</v>
      </c>
      <c r="AF49" s="45" cm="1">
        <f t="array" ref="AF49">(AF$5&lt;$C$99)*(SUMPRODUCT(--(AF$5&gt;='Accom_Phase Schedule'!$E$65:$E$69),--(MOD(MONTH(AF$5),12)=MOD(MONTH('Accom_Phase Schedule'!$E$65:$E$69),12)),'Accom_Phase Schedule'!$J$53:$J$57)*-$C49)*AF$100</f>
        <v>0</v>
      </c>
      <c r="AG49" s="45" cm="1">
        <f t="array" ref="AG49">(AG$5&lt;$C$99)*(SUMPRODUCT(--(AG$5&gt;='Accom_Phase Schedule'!$E$65:$E$69),--(MOD(MONTH(AG$5),12)=MOD(MONTH('Accom_Phase Schedule'!$E$65:$E$69),12)),'Accom_Phase Schedule'!$J$53:$J$57)*-$C49)*AG$100</f>
        <v>0</v>
      </c>
      <c r="AH49" s="45" cm="1">
        <f t="array" ref="AH49">(AH$5&lt;$C$99)*(SUMPRODUCT(--(AH$5&gt;='Accom_Phase Schedule'!$E$65:$E$69),--(MOD(MONTH(AH$5),12)=MOD(MONTH('Accom_Phase Schedule'!$E$65:$E$69),12)),'Accom_Phase Schedule'!$J$53:$J$57)*-$C49)*AH$100</f>
        <v>0</v>
      </c>
      <c r="AI49" s="45" cm="1">
        <f t="array" ref="AI49">(AI$5&lt;$C$99)*(SUMPRODUCT(--(AI$5&gt;='Accom_Phase Schedule'!$E$65:$E$69),--(MOD(MONTH(AI$5),12)=MOD(MONTH('Accom_Phase Schedule'!$E$65:$E$69),12)),'Accom_Phase Schedule'!$J$53:$J$57)*-$C49)*AI$100</f>
        <v>-64200.000000000007</v>
      </c>
      <c r="AJ49" s="45" cm="1">
        <f t="array" ref="AJ49">(AJ$5&lt;$C$99)*(SUMPRODUCT(--(AJ$5&gt;='Accom_Phase Schedule'!$E$65:$E$69),--(MOD(MONTH(AJ$5),12)=MOD(MONTH('Accom_Phase Schedule'!$E$65:$E$69),12)),'Accom_Phase Schedule'!$J$53:$J$57)*-$C49)*AJ$100</f>
        <v>-64200.000000000007</v>
      </c>
      <c r="AK49" s="45" cm="1">
        <f t="array" ref="AK49">(AK$5&lt;$C$99)*(SUMPRODUCT(--(AK$5&gt;='Accom_Phase Schedule'!$E$65:$E$69),--(MOD(MONTH(AK$5),12)=MOD(MONTH('Accom_Phase Schedule'!$E$65:$E$69),12)),'Accom_Phase Schedule'!$J$53:$J$57)*-$C49)*AK$100</f>
        <v>0</v>
      </c>
      <c r="AL49" s="45" cm="1">
        <f t="array" ref="AL49">(AL$5&lt;$C$99)*(SUMPRODUCT(--(AL$5&gt;='Accom_Phase Schedule'!$E$65:$E$69),--(MOD(MONTH(AL$5),12)=MOD(MONTH('Accom_Phase Schedule'!$E$65:$E$69),12)),'Accom_Phase Schedule'!$J$53:$J$57)*-$C49)*AL$100</f>
        <v>0</v>
      </c>
      <c r="AM49" s="45" cm="1">
        <f t="array" ref="AM49">(AM$5&lt;$C$99)*(SUMPRODUCT(--(AM$5&gt;='Accom_Phase Schedule'!$E$65:$E$69),--(MOD(MONTH(AM$5),12)=MOD(MONTH('Accom_Phase Schedule'!$E$65:$E$69),12)),'Accom_Phase Schedule'!$J$53:$J$57)*-$C49)*AM$100</f>
        <v>0</v>
      </c>
      <c r="AN49" s="45" cm="1">
        <f t="array" ref="AN49">(AN$5&lt;$C$99)*(SUMPRODUCT(--(AN$5&gt;='Accom_Phase Schedule'!$E$65:$E$69),--(MOD(MONTH(AN$5),12)=MOD(MONTH('Accom_Phase Schedule'!$E$65:$E$69),12)),'Accom_Phase Schedule'!$J$53:$J$57)*-$C49)*AN$100</f>
        <v>0</v>
      </c>
      <c r="AO49" s="45" cm="1">
        <f t="array" ref="AO49">(AO$5&lt;$C$99)*(SUMPRODUCT(--(AO$5&gt;='Accom_Phase Schedule'!$E$65:$E$69),--(MOD(MONTH(AO$5),12)=MOD(MONTH('Accom_Phase Schedule'!$E$65:$E$69),12)),'Accom_Phase Schedule'!$J$53:$J$57)*-$C49)*AO$100</f>
        <v>-128400.00000000001</v>
      </c>
      <c r="AP49" s="45" cm="1">
        <f t="array" ref="AP49">(AP$5&lt;$C$99)*(SUMPRODUCT(--(AP$5&gt;='Accom_Phase Schedule'!$E$65:$E$69),--(MOD(MONTH(AP$5),12)=MOD(MONTH('Accom_Phase Schedule'!$E$65:$E$69),12)),'Accom_Phase Schedule'!$J$53:$J$57)*-$C49)*AP$100</f>
        <v>0</v>
      </c>
      <c r="AQ49" s="45" cm="1">
        <f t="array" ref="AQ49">(AQ$5&lt;$C$99)*(SUMPRODUCT(--(AQ$5&gt;='Accom_Phase Schedule'!$E$65:$E$69),--(MOD(MONTH(AQ$5),12)=MOD(MONTH('Accom_Phase Schedule'!$E$65:$E$69),12)),'Accom_Phase Schedule'!$J$53:$J$57)*-$C49)*AQ$100</f>
        <v>-64200.000000000007</v>
      </c>
      <c r="AR49" s="45" cm="1">
        <f t="array" ref="AR49">(AR$5&lt;$C$99)*(SUMPRODUCT(--(AR$5&gt;='Accom_Phase Schedule'!$E$65:$E$69),--(MOD(MONTH(AR$5),12)=MOD(MONTH('Accom_Phase Schedule'!$E$65:$E$69),12)),'Accom_Phase Schedule'!$J$53:$J$57)*-$C49)*AR$100</f>
        <v>0</v>
      </c>
      <c r="AS49" s="45" cm="1">
        <f t="array" ref="AS49">(AS$5&lt;$C$99)*(SUMPRODUCT(--(AS$5&gt;='Accom_Phase Schedule'!$E$65:$E$69),--(MOD(MONTH(AS$5),12)=MOD(MONTH('Accom_Phase Schedule'!$E$65:$E$69),12)),'Accom_Phase Schedule'!$J$53:$J$57)*-$C49)*AS$100</f>
        <v>0</v>
      </c>
      <c r="AT49" s="45" cm="1">
        <f t="array" ref="AT49">(AT$5&lt;$C$99)*(SUMPRODUCT(--(AT$5&gt;='Accom_Phase Schedule'!$E$65:$E$69),--(MOD(MONTH(AT$5),12)=MOD(MONTH('Accom_Phase Schedule'!$E$65:$E$69),12)),'Accom_Phase Schedule'!$J$53:$J$57)*-$C49)*AT$100</f>
        <v>0</v>
      </c>
      <c r="AU49" s="45" cm="1">
        <f t="array" ref="AU49">(AU$5&lt;$C$99)*(SUMPRODUCT(--(AU$5&gt;='Accom_Phase Schedule'!$E$65:$E$69),--(MOD(MONTH(AU$5),12)=MOD(MONTH('Accom_Phase Schedule'!$E$65:$E$69),12)),'Accom_Phase Schedule'!$J$53:$J$57)*-$C49)*AU$100</f>
        <v>-64200.000000000007</v>
      </c>
      <c r="AV49" s="45" cm="1">
        <f t="array" ref="AV49">(AV$5&lt;$C$99)*(SUMPRODUCT(--(AV$5&gt;='Accom_Phase Schedule'!$E$65:$E$69),--(MOD(MONTH(AV$5),12)=MOD(MONTH('Accom_Phase Schedule'!$E$65:$E$69),12)),'Accom_Phase Schedule'!$J$53:$J$57)*-$C49)*AV$100</f>
        <v>-66300</v>
      </c>
      <c r="AW49" s="45" cm="1">
        <f t="array" ref="AW49">(AW$5&lt;$C$99)*(SUMPRODUCT(--(AW$5&gt;='Accom_Phase Schedule'!$E$65:$E$69),--(MOD(MONTH(AW$5),12)=MOD(MONTH('Accom_Phase Schedule'!$E$65:$E$69),12)),'Accom_Phase Schedule'!$J$53:$J$57)*-$C49)*AW$100</f>
        <v>0</v>
      </c>
      <c r="AX49" s="45" cm="1">
        <f t="array" ref="AX49">(AX$5&lt;$C$99)*(SUMPRODUCT(--(AX$5&gt;='Accom_Phase Schedule'!$E$65:$E$69),--(MOD(MONTH(AX$5),12)=MOD(MONTH('Accom_Phase Schedule'!$E$65:$E$69),12)),'Accom_Phase Schedule'!$J$53:$J$57)*-$C49)*AX$100</f>
        <v>0</v>
      </c>
      <c r="AY49" s="45" cm="1">
        <f t="array" ref="AY49">(AY$5&lt;$C$99)*(SUMPRODUCT(--(AY$5&gt;='Accom_Phase Schedule'!$E$65:$E$69),--(MOD(MONTH(AY$5),12)=MOD(MONTH('Accom_Phase Schedule'!$E$65:$E$69),12)),'Accom_Phase Schedule'!$J$53:$J$57)*-$C49)*AY$100</f>
        <v>0</v>
      </c>
      <c r="AZ49" s="45" cm="1">
        <f t="array" ref="AZ49">(AZ$5&lt;$C$99)*(SUMPRODUCT(--(AZ$5&gt;='Accom_Phase Schedule'!$E$65:$E$69),--(MOD(MONTH(AZ$5),12)=MOD(MONTH('Accom_Phase Schedule'!$E$65:$E$69),12)),'Accom_Phase Schedule'!$J$53:$J$57)*-$C49)*AZ$100</f>
        <v>0</v>
      </c>
      <c r="BA49" s="45" cm="1">
        <f t="array" ref="BA49">(BA$5&lt;$C$99)*(SUMPRODUCT(--(BA$5&gt;='Accom_Phase Schedule'!$E$65:$E$69),--(MOD(MONTH(BA$5),12)=MOD(MONTH('Accom_Phase Schedule'!$E$65:$E$69),12)),'Accom_Phase Schedule'!$J$53:$J$57)*-$C49)*BA$100</f>
        <v>0</v>
      </c>
      <c r="BB49" s="45" cm="1">
        <f t="array" ref="BB49">(BB$5&lt;$C$99)*(SUMPRODUCT(--(BB$5&gt;='Accom_Phase Schedule'!$E$65:$E$69),--(MOD(MONTH(BB$5),12)=MOD(MONTH('Accom_Phase Schedule'!$E$65:$E$69),12)),'Accom_Phase Schedule'!$J$53:$J$57)*-$C49)*BB$100</f>
        <v>0</v>
      </c>
      <c r="BC49" s="45" cm="1">
        <f t="array" ref="BC49">(BC$5&lt;$C$99)*(SUMPRODUCT(--(BC$5&gt;='Accom_Phase Schedule'!$E$65:$E$69),--(MOD(MONTH(BC$5),12)=MOD(MONTH('Accom_Phase Schedule'!$E$65:$E$69),12)),'Accom_Phase Schedule'!$J$53:$J$57)*-$C49)*BC$100</f>
        <v>0</v>
      </c>
    </row>
    <row r="50" spans="2:55" x14ac:dyDescent="0.25">
      <c r="B50" s="5" t="s">
        <v>77</v>
      </c>
      <c r="C50" s="6">
        <v>120</v>
      </c>
      <c r="D50" s="5" t="s">
        <v>9</v>
      </c>
      <c r="E50" s="5">
        <f>C50*'Accom_Phase Schedule'!$D$45</f>
        <v>60000</v>
      </c>
      <c r="H50" s="1" t="str">
        <f t="shared" ref="H50:H54" si="23">B50</f>
        <v>RTB Registrations</v>
      </c>
      <c r="I50" s="61">
        <f t="shared" ref="I50:I54" si="24">SUM(K50:BC50)</f>
        <v>-65746.254285714283</v>
      </c>
      <c r="K50" s="1">
        <f>(K5&lt;$C$99)*((K128-J128)*-$C$50+AND(K5&gt;EDATE('Accom_Phase Schedule'!$E$65,12),K5&lt;$C$99)*-$C$103*($C$50/12)*(K$128/MAX($K$128:$BC$128)))*K$100</f>
        <v>0</v>
      </c>
      <c r="L50" s="1">
        <f>(L5&lt;$C$99)*((L128-K128)*-$C$50+AND(L5&gt;EDATE('Accom_Phase Schedule'!$E$65,12),L5&lt;$C$99)*-$C$103*($C$50/12)*(L$128/MAX($K$128:$BC$128)))*L$100</f>
        <v>0</v>
      </c>
      <c r="M50" s="1">
        <f>(M5&lt;$C$99)*((M128-L128)*-$C$50+AND(M5&gt;EDATE('Accom_Phase Schedule'!$E$65,12),M5&lt;$C$99)*-$C$103*($C$50/12)*(M$128/MAX($K$128:$BC$128)))*M$100</f>
        <v>0</v>
      </c>
      <c r="N50" s="1">
        <f>(N5&lt;$C$99)*((N128-M128)*-$C$50+AND(N5&gt;EDATE('Accom_Phase Schedule'!$E$65,12),N5&lt;$C$99)*-$C$103*($C$50/12)*(N$128/MAX($K$128:$BC$128)))*N$100</f>
        <v>0</v>
      </c>
      <c r="O50" s="1">
        <f>(O5&lt;$C$99)*((O128-N128)*-$C$50+AND(O5&gt;EDATE('Accom_Phase Schedule'!$E$65,12),O5&lt;$C$99)*-$C$103*($C$50/12)*(O$128/MAX($K$128:$BC$128)))*O$100</f>
        <v>0</v>
      </c>
      <c r="P50" s="1">
        <f>(P5&lt;$C$99)*((P128-O128)*-$C$50+AND(P5&gt;EDATE('Accom_Phase Schedule'!$E$65,12),P5&lt;$C$99)*-$C$103*($C$50/12)*(P$128/MAX($K$128:$BC$128)))*P$100</f>
        <v>0</v>
      </c>
      <c r="Q50" s="1">
        <f>(Q5&lt;$C$99)*((Q128-P128)*-$C$50+AND(Q5&gt;EDATE('Accom_Phase Schedule'!$E$65,12),Q5&lt;$C$99)*-$C$103*($C$50/12)*(Q$128/MAX($K$128:$BC$128)))*Q$100</f>
        <v>0</v>
      </c>
      <c r="R50" s="1">
        <f>(R5&lt;$C$99)*((R128-Q128)*-$C$50+AND(R5&gt;EDATE('Accom_Phase Schedule'!$E$65,12),R5&lt;$C$99)*-$C$103*($C$50/12)*(R$128/MAX($K$128:$BC$128)))*R$100</f>
        <v>0</v>
      </c>
      <c r="S50" s="1">
        <f>(S5&lt;$C$99)*((S128-R128)*-$C$50+AND(S5&gt;EDATE('Accom_Phase Schedule'!$E$65,12),S5&lt;$C$99)*-$C$103*($C$50/12)*(S$128/MAX($K$128:$BC$128)))*S$100</f>
        <v>-3960</v>
      </c>
      <c r="T50" s="1">
        <f>(T5&lt;$C$99)*((T128-S128)*-$C$50+AND(T5&gt;EDATE('Accom_Phase Schedule'!$E$65,12),T5&lt;$C$99)*-$C$103*($C$50/12)*(T$128/MAX($K$128:$BC$128)))*T$100</f>
        <v>-2760</v>
      </c>
      <c r="U50" s="1">
        <f>(U5&lt;$C$99)*((U128-T128)*-$C$50+AND(U5&gt;EDATE('Accom_Phase Schedule'!$E$65,12),U5&lt;$C$99)*-$C$103*($C$50/12)*(U$128/MAX($K$128:$BC$128)))*U$100</f>
        <v>-2760</v>
      </c>
      <c r="V50" s="1">
        <f>(V5&lt;$C$99)*((V128-U128)*-$C$50+AND(V5&gt;EDATE('Accom_Phase Schedule'!$E$65,12),V5&lt;$C$99)*-$C$103*($C$50/12)*(V$128/MAX($K$128:$BC$128)))*V$100</f>
        <v>-2280</v>
      </c>
      <c r="W50" s="1">
        <f>(W5&lt;$C$99)*((W128-V128)*-$C$50+AND(W5&gt;EDATE('Accom_Phase Schedule'!$E$65,12),W5&lt;$C$99)*-$C$103*($C$50/12)*(W$128/MAX($K$128:$BC$128)))*W$100</f>
        <v>0</v>
      </c>
      <c r="X50" s="1">
        <f>(X5&lt;$C$99)*((X128-W128)*-$C$50+AND(X5&gt;EDATE('Accom_Phase Schedule'!$E$65,12),X5&lt;$C$99)*-$C$103*($C$50/12)*(X$128/MAX($K$128:$BC$128)))*X$100</f>
        <v>-4098.5999999999995</v>
      </c>
      <c r="Y50" s="1">
        <f>(Y5&lt;$C$99)*((Y128-X128)*-$C$50+AND(Y5&gt;EDATE('Accom_Phase Schedule'!$E$65,12),Y5&lt;$C$99)*-$C$103*($C$50/12)*(Y$128/MAX($K$128:$BC$128)))*Y$100</f>
        <v>-2856.6</v>
      </c>
      <c r="Z50" s="1">
        <f>(Z5&lt;$C$99)*((Z128-Y128)*-$C$50+AND(Z5&gt;EDATE('Accom_Phase Schedule'!$E$65,12),Z5&lt;$C$99)*-$C$103*($C$50/12)*(Z$128/MAX($K$128:$BC$128)))*Z$100</f>
        <v>-2856.6</v>
      </c>
      <c r="AA50" s="1">
        <f>(AA5&lt;$C$99)*((AA128-Z128)*-$C$50+AND(AA5&gt;EDATE('Accom_Phase Schedule'!$E$65,12),AA5&lt;$C$99)*-$C$103*($C$50/12)*(AA$128/MAX($K$128:$BC$128)))*AA$100</f>
        <v>-2359.7999999999997</v>
      </c>
      <c r="AB50" s="1">
        <f>(AB5&lt;$C$99)*((AB128-AA128)*-$C$50+AND(AB5&gt;EDATE('Accom_Phase Schedule'!$E$65,12),AB5&lt;$C$99)*-$C$103*($C$50/12)*(AB$128/MAX($K$128:$BC$128)))*AB$100</f>
        <v>0</v>
      </c>
      <c r="AC50" s="1">
        <f>(AC5&lt;$C$99)*((AC128-AB128)*-$C$50+AND(AC5&gt;EDATE('Accom_Phase Schedule'!$E$65,12),AC5&lt;$C$99)*-$C$103*($C$50/12)*(AC$128/MAX($K$128:$BC$128)))*AC$100</f>
        <v>-4098.5999999999995</v>
      </c>
      <c r="AD50" s="1">
        <f>(AD5&lt;$C$99)*((AD128-AC128)*-$C$50+AND(AD5&gt;EDATE('Accom_Phase Schedule'!$E$65,12),AD5&lt;$C$99)*-$C$103*($C$50/12)*(AD$128/MAX($K$128:$BC$128)))*AD$100</f>
        <v>-2856.6</v>
      </c>
      <c r="AE50" s="1">
        <f>(AE5&lt;$C$99)*((AE128-AD128)*-$C$50+AND(AE5&gt;EDATE('Accom_Phase Schedule'!$E$65,12),AE5&lt;$C$99)*-$C$103*($C$50/12)*(AE$128/MAX($K$128:$BC$128)))*AE$100</f>
        <v>-2856.6</v>
      </c>
      <c r="AF50" s="1">
        <f>(AF5&lt;$C$99)*((AF128-AE128)*-$C$50+AND(AF5&gt;EDATE('Accom_Phase Schedule'!$E$65,12),AF5&lt;$C$99)*-$C$103*($C$50/12)*(AF$128/MAX($K$128:$BC$128)))*AF$100</f>
        <v>-2502.6299999999997</v>
      </c>
      <c r="AG50" s="1">
        <f>(AG5&lt;$C$99)*((AG128-AF128)*-$C$50+AND(AG5&gt;EDATE('Accom_Phase Schedule'!$E$65,12),AG5&lt;$C$99)*-$C$103*($C$50/12)*(AG$128/MAX($K$128:$BC$128)))*AG$100</f>
        <v>-142.82999999999998</v>
      </c>
      <c r="AH50" s="1">
        <f>(AH5&lt;$C$99)*((AH128-AG128)*-$C$50+AND(AH5&gt;EDATE('Accom_Phase Schedule'!$E$65,12),AH5&lt;$C$99)*-$C$103*($C$50/12)*(AH$128/MAX($K$128:$BC$128)))*AH$100</f>
        <v>-142.82999999999998</v>
      </c>
      <c r="AI50" s="1">
        <f>(AI5&lt;$C$99)*((AI128-AH128)*-$C$50+AND(AI5&gt;EDATE('Accom_Phase Schedule'!$E$65,12),AI5&lt;$C$99)*-$C$103*($C$50/12)*(AI$128/MAX($K$128:$BC$128)))*AI$100</f>
        <v>-4401.434081632653</v>
      </c>
      <c r="AJ50" s="1">
        <f>(AJ5&lt;$C$99)*((AJ128-AI128)*-$C$50+AND(AJ5&gt;EDATE('Accom_Phase Schedule'!$E$65,12),AJ5&lt;$C$99)*-$C$103*($C$50/12)*(AJ$128/MAX($K$128:$BC$128)))*AJ$100</f>
        <v>-3128.9857142857145</v>
      </c>
      <c r="AK50" s="1">
        <f>(AK5&lt;$C$99)*((AK128-AJ128)*-$C$50+AND(AK5&gt;EDATE('Accom_Phase Schedule'!$E$65,12),AK5&lt;$C$99)*-$C$103*($C$50/12)*(AK$128/MAX($K$128:$BC$128)))*AK$100</f>
        <v>-3140.5373469387755</v>
      </c>
      <c r="AL50" s="1">
        <f>(AL5&lt;$C$99)*((AL128-AK128)*-$C$50+AND(AL5&gt;EDATE('Accom_Phase Schedule'!$E$65,12),AL5&lt;$C$99)*-$C$103*($C$50/12)*(AL$128/MAX($K$128:$BC$128)))*AL$100</f>
        <v>-2636.48</v>
      </c>
      <c r="AM50" s="1">
        <f>(AM5&lt;$C$99)*((AM128-AL128)*-$C$50+AND(AM5&gt;EDATE('Accom_Phase Schedule'!$E$65,12),AM5&lt;$C$99)*-$C$103*($C$50/12)*(AM$128/MAX($K$128:$BC$128)))*AM$100</f>
        <v>-196.88000000000002</v>
      </c>
      <c r="AN50" s="1">
        <f>(AN5&lt;$C$99)*((AN128-AM128)*-$C$50+AND(AN5&gt;EDATE('Accom_Phase Schedule'!$E$65,12),AN5&lt;$C$99)*-$C$103*($C$50/12)*(AN$128/MAX($K$128:$BC$128)))*AN$100</f>
        <v>-196.88000000000002</v>
      </c>
      <c r="AO50" s="1">
        <f>(AO5&lt;$C$99)*((AO128-AN128)*-$C$50+AND(AO5&gt;EDATE('Accom_Phase Schedule'!$E$65,12),AO5&lt;$C$99)*-$C$103*($C$50/12)*(AO$128/MAX($K$128:$BC$128)))*AO$100</f>
        <v>-4450.6540816326533</v>
      </c>
      <c r="AP50" s="1">
        <f>(AP5&lt;$C$99)*((AP128-AO128)*-$C$50+AND(AP5&gt;EDATE('Accom_Phase Schedule'!$E$65,12),AP5&lt;$C$99)*-$C$103*($C$50/12)*(AP$128/MAX($K$128:$BC$128)))*AP$100</f>
        <v>-3178.2057142857143</v>
      </c>
      <c r="AQ50" s="1">
        <f>(AQ5&lt;$C$99)*((AQ128-AP128)*-$C$50+AND(AQ5&gt;EDATE('Accom_Phase Schedule'!$E$65,12),AQ5&lt;$C$99)*-$C$103*($C$50/12)*(AQ$128/MAX($K$128:$BC$128)))*AQ$100</f>
        <v>-3189.7573469387758</v>
      </c>
      <c r="AR50" s="1">
        <f>(AR5&lt;$C$99)*((AR128-AQ128)*-$C$50+AND(AR5&gt;EDATE('Accom_Phase Schedule'!$E$65,12),AR5&lt;$C$99)*-$C$103*($C$50/12)*(AR$128/MAX($K$128:$BC$128)))*AR$100</f>
        <v>-2685.7000000000003</v>
      </c>
      <c r="AS50" s="1">
        <f>(AS5&lt;$C$99)*((AS128-AR128)*-$C$50+AND(AS5&gt;EDATE('Accom_Phase Schedule'!$E$65,12),AS5&lt;$C$99)*-$C$103*($C$50/12)*(AS$128/MAX($K$128:$BC$128)))*AS$100</f>
        <v>-246.10000000000002</v>
      </c>
      <c r="AT50" s="1">
        <f>(AT5&lt;$C$99)*((AT128-AS128)*-$C$50+AND(AT5&gt;EDATE('Accom_Phase Schedule'!$E$65,12),AT5&lt;$C$99)*-$C$103*($C$50/12)*(AT$128/MAX($K$128:$BC$128)))*AT$100</f>
        <v>-246.10000000000002</v>
      </c>
      <c r="AU50" s="1">
        <f>(AU5&lt;$C$99)*((AU128-AT128)*-$C$50+AND(AU5&gt;EDATE('Accom_Phase Schedule'!$E$65,12),AU5&lt;$C$99)*-$C$103*($C$50/12)*(AU$128/MAX($K$128:$BC$128)))*AU$100</f>
        <v>-246.10000000000002</v>
      </c>
      <c r="AV50" s="1">
        <f>(AV5&lt;$C$99)*((AV128-AU128)*-$C$50+AND(AV5&gt;EDATE('Accom_Phase Schedule'!$E$65,12),AV5&lt;$C$99)*-$C$103*($C$50/12)*(AV$128/MAX($K$128:$BC$128)))*AV$100</f>
        <v>-254.15</v>
      </c>
      <c r="AW50" s="1">
        <f>(AW5&lt;$C$99)*((AW128-AV128)*-$C$50+AND(AW5&gt;EDATE('Accom_Phase Schedule'!$E$65,12),AW5&lt;$C$99)*-$C$103*($C$50/12)*(AW$128/MAX($K$128:$BC$128)))*AW$100</f>
        <v>-254.15</v>
      </c>
      <c r="AX50" s="1">
        <f>(AX5&lt;$C$99)*((AX128-AW128)*-$C$50+AND(AX5&gt;EDATE('Accom_Phase Schedule'!$E$65,12),AX5&lt;$C$99)*-$C$103*($C$50/12)*(AX$128/MAX($K$128:$BC$128)))*AX$100</f>
        <v>-254.15</v>
      </c>
      <c r="AY50" s="1">
        <f>(AY5&lt;$C$99)*((AY128-AX128)*-$C$50+AND(AY5&gt;EDATE('Accom_Phase Schedule'!$E$65,12),AY5&lt;$C$99)*-$C$103*($C$50/12)*(AY$128/MAX($K$128:$BC$128)))*AY$100</f>
        <v>-254.15</v>
      </c>
      <c r="AZ50" s="1">
        <f>(AZ5&lt;$C$99)*((AZ128-AY128)*-$C$50+AND(AZ5&gt;EDATE('Accom_Phase Schedule'!$E$65,12),AZ5&lt;$C$99)*-$C$103*($C$50/12)*(AZ$128/MAX($K$128:$BC$128)))*AZ$100</f>
        <v>-254.15</v>
      </c>
      <c r="BA50" s="1">
        <f>(BA5&lt;$C$99)*((BA128-AZ128)*-$C$50+AND(BA5&gt;EDATE('Accom_Phase Schedule'!$E$65,12),BA5&lt;$C$99)*-$C$103*($C$50/12)*(BA$128/MAX($K$128:$BC$128)))*BA$100</f>
        <v>0</v>
      </c>
      <c r="BB50" s="1">
        <f>(BB5&lt;$C$99)*((BB128-BA128)*-$C$50+AND(BB5&gt;EDATE('Accom_Phase Schedule'!$E$65,12),BB5&lt;$C$99)*-$C$103*($C$50/12)*(BB$128/MAX($K$128:$BC$128)))*BB$100</f>
        <v>0</v>
      </c>
      <c r="BC50" s="1">
        <f>(BC5&lt;$C$99)*((BC128-BB128)*-$C$50+AND(BC5&gt;EDATE('Accom_Phase Schedule'!$E$65,12),BC5&lt;$C$99)*-$C$103*($C$50/12)*(BC$128/MAX($K$128:$BC$128)))*BC$100</f>
        <v>0</v>
      </c>
    </row>
    <row r="51" spans="2:55" x14ac:dyDescent="0.25">
      <c r="B51" s="5" t="s">
        <v>78</v>
      </c>
      <c r="C51" s="6">
        <v>400</v>
      </c>
      <c r="D51" s="5" t="s">
        <v>9</v>
      </c>
      <c r="E51" s="5">
        <f>C51*'Accom_Phase Schedule'!$D$45</f>
        <v>200000</v>
      </c>
      <c r="H51" s="45" t="str">
        <f t="shared" si="23"/>
        <v>Block Management p/a</v>
      </c>
      <c r="I51" s="60">
        <f t="shared" si="24"/>
        <v>-393571.42857142864</v>
      </c>
      <c r="J51" s="45"/>
      <c r="K51" s="45">
        <f>((K$128/MAX($K$128:$BC$128))*-($E51/12))*K$100</f>
        <v>0</v>
      </c>
      <c r="L51" s="45">
        <f t="shared" ref="L51:BC54" si="25">((L$128/MAX($K$128:$BC$128))*-($E51/12))*L$100</f>
        <v>0</v>
      </c>
      <c r="M51" s="45">
        <f t="shared" si="25"/>
        <v>0</v>
      </c>
      <c r="N51" s="45">
        <f t="shared" si="25"/>
        <v>0</v>
      </c>
      <c r="O51" s="45">
        <f t="shared" si="25"/>
        <v>0</v>
      </c>
      <c r="P51" s="45">
        <f t="shared" si="25"/>
        <v>0</v>
      </c>
      <c r="Q51" s="45">
        <f t="shared" si="25"/>
        <v>0</v>
      </c>
      <c r="R51" s="45">
        <f t="shared" si="25"/>
        <v>0</v>
      </c>
      <c r="S51" s="45">
        <f t="shared" si="25"/>
        <v>-1122.4489795918369</v>
      </c>
      <c r="T51" s="45">
        <f t="shared" si="25"/>
        <v>-1904.7619047619048</v>
      </c>
      <c r="U51" s="45">
        <f t="shared" si="25"/>
        <v>-2687.074829931973</v>
      </c>
      <c r="V51" s="45">
        <f t="shared" si="25"/>
        <v>-3333.3333333333339</v>
      </c>
      <c r="W51" s="45">
        <f t="shared" si="25"/>
        <v>-3450.0000000000005</v>
      </c>
      <c r="X51" s="45">
        <f t="shared" si="25"/>
        <v>-4611.7346938775509</v>
      </c>
      <c r="Y51" s="45">
        <f t="shared" si="25"/>
        <v>-5421.4285714285716</v>
      </c>
      <c r="Z51" s="45">
        <f t="shared" si="25"/>
        <v>-6231.1224489795923</v>
      </c>
      <c r="AA51" s="45">
        <f t="shared" si="25"/>
        <v>-6900.0000000000009</v>
      </c>
      <c r="AB51" s="45">
        <f t="shared" si="25"/>
        <v>-6900.0000000000009</v>
      </c>
      <c r="AC51" s="45">
        <f t="shared" si="25"/>
        <v>-8061.7346938775509</v>
      </c>
      <c r="AD51" s="45">
        <f t="shared" si="25"/>
        <v>-8871.4285714285706</v>
      </c>
      <c r="AE51" s="45">
        <f t="shared" si="25"/>
        <v>-9681.1224489795914</v>
      </c>
      <c r="AF51" s="45">
        <f t="shared" si="25"/>
        <v>-10350</v>
      </c>
      <c r="AG51" s="45">
        <f t="shared" si="25"/>
        <v>-10350</v>
      </c>
      <c r="AH51" s="45">
        <f t="shared" si="25"/>
        <v>-10350</v>
      </c>
      <c r="AI51" s="45">
        <f t="shared" si="25"/>
        <v>-11901.020408163267</v>
      </c>
      <c r="AJ51" s="45">
        <f t="shared" si="25"/>
        <v>-12738.09523809524</v>
      </c>
      <c r="AK51" s="45">
        <f t="shared" si="25"/>
        <v>-13575.170068027213</v>
      </c>
      <c r="AL51" s="45">
        <f t="shared" si="25"/>
        <v>-14266.66666666667</v>
      </c>
      <c r="AM51" s="45">
        <f t="shared" si="25"/>
        <v>-14266.66666666667</v>
      </c>
      <c r="AN51" s="45">
        <f t="shared" si="25"/>
        <v>-14266.66666666667</v>
      </c>
      <c r="AO51" s="45">
        <f t="shared" si="25"/>
        <v>-15467.687074829933</v>
      </c>
      <c r="AP51" s="45">
        <f t="shared" si="25"/>
        <v>-16304.761904761906</v>
      </c>
      <c r="AQ51" s="45">
        <f t="shared" si="25"/>
        <v>-17141.836734693879</v>
      </c>
      <c r="AR51" s="45">
        <f t="shared" si="25"/>
        <v>-17833.333333333336</v>
      </c>
      <c r="AS51" s="45">
        <f t="shared" si="25"/>
        <v>-17833.333333333336</v>
      </c>
      <c r="AT51" s="45">
        <f t="shared" si="25"/>
        <v>-17833.333333333336</v>
      </c>
      <c r="AU51" s="45">
        <f t="shared" si="25"/>
        <v>-17833.333333333336</v>
      </c>
      <c r="AV51" s="45">
        <f t="shared" si="25"/>
        <v>-18416.666666666668</v>
      </c>
      <c r="AW51" s="45">
        <f t="shared" si="25"/>
        <v>-18416.666666666668</v>
      </c>
      <c r="AX51" s="45">
        <f t="shared" si="25"/>
        <v>-18416.666666666668</v>
      </c>
      <c r="AY51" s="45">
        <f t="shared" si="25"/>
        <v>-18416.666666666668</v>
      </c>
      <c r="AZ51" s="45">
        <f t="shared" si="25"/>
        <v>-18416.666666666668</v>
      </c>
      <c r="BA51" s="45">
        <f t="shared" si="25"/>
        <v>0</v>
      </c>
      <c r="BB51" s="45">
        <f t="shared" si="25"/>
        <v>0</v>
      </c>
      <c r="BC51" s="45">
        <f t="shared" si="25"/>
        <v>0</v>
      </c>
    </row>
    <row r="52" spans="2:55" x14ac:dyDescent="0.25">
      <c r="B52" s="5" t="s">
        <v>79</v>
      </c>
      <c r="C52" s="6">
        <v>350</v>
      </c>
      <c r="D52" s="5" t="s">
        <v>9</v>
      </c>
      <c r="E52" s="5">
        <f>C52*'Accom_Phase Schedule'!$D$45</f>
        <v>175000</v>
      </c>
      <c r="H52" s="1" t="str">
        <f t="shared" si="23"/>
        <v>Estate Management p/a</v>
      </c>
      <c r="I52" s="61">
        <f t="shared" si="24"/>
        <v>-344374.99999999988</v>
      </c>
      <c r="K52" s="1">
        <f t="shared" ref="K52:Z54" si="26">((K$128/MAX($K$128:$BC$128))*-($E52/12))*K$100</f>
        <v>0</v>
      </c>
      <c r="L52" s="1">
        <f t="shared" si="26"/>
        <v>0</v>
      </c>
      <c r="M52" s="1">
        <f t="shared" si="26"/>
        <v>0</v>
      </c>
      <c r="N52" s="1">
        <f t="shared" si="26"/>
        <v>0</v>
      </c>
      <c r="O52" s="1">
        <f t="shared" si="26"/>
        <v>0</v>
      </c>
      <c r="P52" s="1">
        <f t="shared" si="26"/>
        <v>0</v>
      </c>
      <c r="Q52" s="1">
        <f t="shared" si="26"/>
        <v>0</v>
      </c>
      <c r="R52" s="1">
        <f t="shared" si="26"/>
        <v>0</v>
      </c>
      <c r="S52" s="1">
        <f t="shared" si="26"/>
        <v>-982.14285714285722</v>
      </c>
      <c r="T52" s="1">
        <f t="shared" si="26"/>
        <v>-1666.6666666666667</v>
      </c>
      <c r="U52" s="1">
        <f t="shared" si="26"/>
        <v>-2351.1904761904761</v>
      </c>
      <c r="V52" s="1">
        <f t="shared" si="26"/>
        <v>-2916.666666666667</v>
      </c>
      <c r="W52" s="1">
        <f t="shared" si="26"/>
        <v>-3018.75</v>
      </c>
      <c r="X52" s="1">
        <f t="shared" si="26"/>
        <v>-4035.2678571428569</v>
      </c>
      <c r="Y52" s="1">
        <f t="shared" si="26"/>
        <v>-4743.7499999999991</v>
      </c>
      <c r="Z52" s="1">
        <f t="shared" si="26"/>
        <v>-5452.2321428571431</v>
      </c>
      <c r="AA52" s="1">
        <f t="shared" si="25"/>
        <v>-6037.5</v>
      </c>
      <c r="AB52" s="1">
        <f t="shared" si="25"/>
        <v>-6037.5</v>
      </c>
      <c r="AC52" s="1">
        <f t="shared" si="25"/>
        <v>-7054.0178571428569</v>
      </c>
      <c r="AD52" s="1">
        <f t="shared" si="25"/>
        <v>-7762.4999999999991</v>
      </c>
      <c r="AE52" s="1">
        <f t="shared" si="25"/>
        <v>-8470.9821428571413</v>
      </c>
      <c r="AF52" s="1">
        <f t="shared" si="25"/>
        <v>-9056.25</v>
      </c>
      <c r="AG52" s="1">
        <f t="shared" si="25"/>
        <v>-9056.25</v>
      </c>
      <c r="AH52" s="1">
        <f t="shared" si="25"/>
        <v>-9056.25</v>
      </c>
      <c r="AI52" s="1">
        <f t="shared" si="25"/>
        <v>-10413.392857142857</v>
      </c>
      <c r="AJ52" s="1">
        <f t="shared" si="25"/>
        <v>-11145.833333333336</v>
      </c>
      <c r="AK52" s="1">
        <f t="shared" si="25"/>
        <v>-11878.273809523811</v>
      </c>
      <c r="AL52" s="1">
        <f t="shared" si="25"/>
        <v>-12483.333333333336</v>
      </c>
      <c r="AM52" s="1">
        <f t="shared" si="25"/>
        <v>-12483.333333333336</v>
      </c>
      <c r="AN52" s="1">
        <f t="shared" si="25"/>
        <v>-12483.333333333336</v>
      </c>
      <c r="AO52" s="1">
        <f t="shared" si="25"/>
        <v>-13534.226190476191</v>
      </c>
      <c r="AP52" s="1">
        <f t="shared" si="25"/>
        <v>-14266.666666666668</v>
      </c>
      <c r="AQ52" s="1">
        <f t="shared" si="25"/>
        <v>-14999.107142857143</v>
      </c>
      <c r="AR52" s="1">
        <f t="shared" si="25"/>
        <v>-15604.166666666668</v>
      </c>
      <c r="AS52" s="1">
        <f t="shared" si="25"/>
        <v>-15604.166666666668</v>
      </c>
      <c r="AT52" s="1">
        <f t="shared" si="25"/>
        <v>-15604.166666666668</v>
      </c>
      <c r="AU52" s="1">
        <f t="shared" si="25"/>
        <v>-15604.166666666668</v>
      </c>
      <c r="AV52" s="1">
        <f t="shared" si="25"/>
        <v>-16114.583333333334</v>
      </c>
      <c r="AW52" s="1">
        <f t="shared" si="25"/>
        <v>-16114.583333333334</v>
      </c>
      <c r="AX52" s="1">
        <f t="shared" si="25"/>
        <v>-16114.583333333334</v>
      </c>
      <c r="AY52" s="1">
        <f t="shared" si="25"/>
        <v>-16114.583333333334</v>
      </c>
      <c r="AZ52" s="1">
        <f t="shared" si="25"/>
        <v>-16114.583333333334</v>
      </c>
      <c r="BA52" s="1">
        <f t="shared" si="25"/>
        <v>0</v>
      </c>
      <c r="BB52" s="1">
        <f t="shared" si="25"/>
        <v>0</v>
      </c>
      <c r="BC52" s="1">
        <f t="shared" si="25"/>
        <v>0</v>
      </c>
    </row>
    <row r="53" spans="2:55" x14ac:dyDescent="0.25">
      <c r="B53" s="5" t="s">
        <v>80</v>
      </c>
      <c r="C53" s="6">
        <v>500</v>
      </c>
      <c r="D53" s="5" t="s">
        <v>9</v>
      </c>
      <c r="E53" s="5">
        <f>C53*'Accom_Phase Schedule'!$D$45</f>
        <v>250000</v>
      </c>
      <c r="H53" s="45" t="str">
        <f t="shared" si="23"/>
        <v>Maintenance Cost p/a</v>
      </c>
      <c r="I53" s="60">
        <f t="shared" si="24"/>
        <v>-491964.28571428574</v>
      </c>
      <c r="J53" s="45"/>
      <c r="K53" s="45">
        <f t="shared" si="26"/>
        <v>0</v>
      </c>
      <c r="L53" s="45">
        <f t="shared" si="25"/>
        <v>0</v>
      </c>
      <c r="M53" s="45">
        <f t="shared" si="25"/>
        <v>0</v>
      </c>
      <c r="N53" s="45">
        <f t="shared" si="25"/>
        <v>0</v>
      </c>
      <c r="O53" s="45">
        <f t="shared" si="25"/>
        <v>0</v>
      </c>
      <c r="P53" s="45">
        <f t="shared" si="25"/>
        <v>0</v>
      </c>
      <c r="Q53" s="45">
        <f t="shared" si="25"/>
        <v>0</v>
      </c>
      <c r="R53" s="45">
        <f t="shared" si="25"/>
        <v>0</v>
      </c>
      <c r="S53" s="45">
        <f t="shared" si="25"/>
        <v>-1403.0612244897959</v>
      </c>
      <c r="T53" s="45">
        <f t="shared" si="25"/>
        <v>-2380.9523809523807</v>
      </c>
      <c r="U53" s="45">
        <f t="shared" si="25"/>
        <v>-3358.8435374149658</v>
      </c>
      <c r="V53" s="45">
        <f t="shared" si="25"/>
        <v>-4166.666666666667</v>
      </c>
      <c r="W53" s="45">
        <f t="shared" si="25"/>
        <v>-4312.5</v>
      </c>
      <c r="X53" s="45">
        <f t="shared" si="25"/>
        <v>-5764.6683673469379</v>
      </c>
      <c r="Y53" s="45">
        <f t="shared" si="25"/>
        <v>-6776.7857142857129</v>
      </c>
      <c r="Z53" s="45">
        <f t="shared" si="25"/>
        <v>-7788.9030612244887</v>
      </c>
      <c r="AA53" s="45">
        <f t="shared" si="25"/>
        <v>-8625</v>
      </c>
      <c r="AB53" s="45">
        <f t="shared" si="25"/>
        <v>-8625</v>
      </c>
      <c r="AC53" s="45">
        <f t="shared" si="25"/>
        <v>-10077.168367346938</v>
      </c>
      <c r="AD53" s="45">
        <f t="shared" si="25"/>
        <v>-11089.28571428571</v>
      </c>
      <c r="AE53" s="45">
        <f t="shared" si="25"/>
        <v>-12101.403061224486</v>
      </c>
      <c r="AF53" s="45">
        <f t="shared" si="25"/>
        <v>-12937.499999999996</v>
      </c>
      <c r="AG53" s="45">
        <f t="shared" si="25"/>
        <v>-12937.499999999996</v>
      </c>
      <c r="AH53" s="45">
        <f t="shared" si="25"/>
        <v>-12937.499999999996</v>
      </c>
      <c r="AI53" s="45">
        <f t="shared" si="25"/>
        <v>-14876.275510204081</v>
      </c>
      <c r="AJ53" s="45">
        <f t="shared" si="25"/>
        <v>-15922.619047619048</v>
      </c>
      <c r="AK53" s="45">
        <f t="shared" si="25"/>
        <v>-16968.962585034013</v>
      </c>
      <c r="AL53" s="45">
        <f t="shared" si="25"/>
        <v>-17833.333333333336</v>
      </c>
      <c r="AM53" s="45">
        <f t="shared" si="25"/>
        <v>-17833.333333333336</v>
      </c>
      <c r="AN53" s="45">
        <f t="shared" si="25"/>
        <v>-17833.333333333336</v>
      </c>
      <c r="AO53" s="45">
        <f t="shared" si="25"/>
        <v>-19334.608843537415</v>
      </c>
      <c r="AP53" s="45">
        <f t="shared" si="25"/>
        <v>-20380.952380952382</v>
      </c>
      <c r="AQ53" s="45">
        <f t="shared" si="25"/>
        <v>-21427.295918367345</v>
      </c>
      <c r="AR53" s="45">
        <f t="shared" si="25"/>
        <v>-22291.666666666668</v>
      </c>
      <c r="AS53" s="45">
        <f t="shared" si="25"/>
        <v>-22291.666666666668</v>
      </c>
      <c r="AT53" s="45">
        <f t="shared" si="25"/>
        <v>-22291.666666666668</v>
      </c>
      <c r="AU53" s="45">
        <f t="shared" si="25"/>
        <v>-22291.666666666668</v>
      </c>
      <c r="AV53" s="45">
        <f t="shared" si="25"/>
        <v>-23020.833333333332</v>
      </c>
      <c r="AW53" s="45">
        <f t="shared" si="25"/>
        <v>-23020.833333333332</v>
      </c>
      <c r="AX53" s="45">
        <f t="shared" si="25"/>
        <v>-23020.833333333332</v>
      </c>
      <c r="AY53" s="45">
        <f t="shared" si="25"/>
        <v>-23020.833333333332</v>
      </c>
      <c r="AZ53" s="45">
        <f t="shared" si="25"/>
        <v>-23020.833333333332</v>
      </c>
      <c r="BA53" s="45">
        <f t="shared" si="25"/>
        <v>0</v>
      </c>
      <c r="BB53" s="45">
        <f t="shared" si="25"/>
        <v>0</v>
      </c>
      <c r="BC53" s="45">
        <f t="shared" si="25"/>
        <v>0</v>
      </c>
    </row>
    <row r="54" spans="2:55" x14ac:dyDescent="0.25">
      <c r="B54" s="5" t="s">
        <v>81</v>
      </c>
      <c r="C54" s="6">
        <v>500</v>
      </c>
      <c r="D54" s="5" t="s">
        <v>9</v>
      </c>
      <c r="E54" s="5">
        <f>C54*'Accom_Phase Schedule'!$D$45</f>
        <v>250000</v>
      </c>
      <c r="H54" s="1" t="str">
        <f t="shared" si="23"/>
        <v>Furniture Expense p/a</v>
      </c>
      <c r="I54" s="61">
        <f t="shared" si="24"/>
        <v>-491964.28571428574</v>
      </c>
      <c r="K54" s="1">
        <f t="shared" si="26"/>
        <v>0</v>
      </c>
      <c r="L54" s="1">
        <f t="shared" si="25"/>
        <v>0</v>
      </c>
      <c r="M54" s="1">
        <f t="shared" si="25"/>
        <v>0</v>
      </c>
      <c r="N54" s="1">
        <f t="shared" si="25"/>
        <v>0</v>
      </c>
      <c r="O54" s="1">
        <f t="shared" si="25"/>
        <v>0</v>
      </c>
      <c r="P54" s="1">
        <f t="shared" si="25"/>
        <v>0</v>
      </c>
      <c r="Q54" s="1">
        <f t="shared" si="25"/>
        <v>0</v>
      </c>
      <c r="R54" s="1">
        <f t="shared" si="25"/>
        <v>0</v>
      </c>
      <c r="S54" s="1">
        <f t="shared" si="25"/>
        <v>-1403.0612244897959</v>
      </c>
      <c r="T54" s="1">
        <f t="shared" si="25"/>
        <v>-2380.9523809523807</v>
      </c>
      <c r="U54" s="1">
        <f t="shared" si="25"/>
        <v>-3358.8435374149658</v>
      </c>
      <c r="V54" s="1">
        <f t="shared" si="25"/>
        <v>-4166.666666666667</v>
      </c>
      <c r="W54" s="1">
        <f t="shared" si="25"/>
        <v>-4312.5</v>
      </c>
      <c r="X54" s="1">
        <f t="shared" si="25"/>
        <v>-5764.6683673469379</v>
      </c>
      <c r="Y54" s="1">
        <f t="shared" si="25"/>
        <v>-6776.7857142857129</v>
      </c>
      <c r="Z54" s="1">
        <f t="shared" si="25"/>
        <v>-7788.9030612244887</v>
      </c>
      <c r="AA54" s="1">
        <f t="shared" si="25"/>
        <v>-8625</v>
      </c>
      <c r="AB54" s="1">
        <f t="shared" si="25"/>
        <v>-8625</v>
      </c>
      <c r="AC54" s="1">
        <f t="shared" si="25"/>
        <v>-10077.168367346938</v>
      </c>
      <c r="AD54" s="1">
        <f t="shared" si="25"/>
        <v>-11089.28571428571</v>
      </c>
      <c r="AE54" s="1">
        <f t="shared" si="25"/>
        <v>-12101.403061224486</v>
      </c>
      <c r="AF54" s="1">
        <f t="shared" si="25"/>
        <v>-12937.499999999996</v>
      </c>
      <c r="AG54" s="1">
        <f t="shared" si="25"/>
        <v>-12937.499999999996</v>
      </c>
      <c r="AH54" s="1">
        <f t="shared" si="25"/>
        <v>-12937.499999999996</v>
      </c>
      <c r="AI54" s="1">
        <f t="shared" si="25"/>
        <v>-14876.275510204081</v>
      </c>
      <c r="AJ54" s="1">
        <f t="shared" si="25"/>
        <v>-15922.619047619048</v>
      </c>
      <c r="AK54" s="1">
        <f t="shared" si="25"/>
        <v>-16968.962585034013</v>
      </c>
      <c r="AL54" s="1">
        <f t="shared" si="25"/>
        <v>-17833.333333333336</v>
      </c>
      <c r="AM54" s="1">
        <f t="shared" si="25"/>
        <v>-17833.333333333336</v>
      </c>
      <c r="AN54" s="1">
        <f t="shared" si="25"/>
        <v>-17833.333333333336</v>
      </c>
      <c r="AO54" s="1">
        <f t="shared" si="25"/>
        <v>-19334.608843537415</v>
      </c>
      <c r="AP54" s="1">
        <f t="shared" si="25"/>
        <v>-20380.952380952382</v>
      </c>
      <c r="AQ54" s="1">
        <f t="shared" si="25"/>
        <v>-21427.295918367345</v>
      </c>
      <c r="AR54" s="1">
        <f t="shared" si="25"/>
        <v>-22291.666666666668</v>
      </c>
      <c r="AS54" s="1">
        <f t="shared" si="25"/>
        <v>-22291.666666666668</v>
      </c>
      <c r="AT54" s="1">
        <f t="shared" si="25"/>
        <v>-22291.666666666668</v>
      </c>
      <c r="AU54" s="1">
        <f t="shared" si="25"/>
        <v>-22291.666666666668</v>
      </c>
      <c r="AV54" s="1">
        <f t="shared" si="25"/>
        <v>-23020.833333333332</v>
      </c>
      <c r="AW54" s="1">
        <f t="shared" si="25"/>
        <v>-23020.833333333332</v>
      </c>
      <c r="AX54" s="1">
        <f t="shared" si="25"/>
        <v>-23020.833333333332</v>
      </c>
      <c r="AY54" s="1">
        <f t="shared" si="25"/>
        <v>-23020.833333333332</v>
      </c>
      <c r="AZ54" s="1">
        <f t="shared" si="25"/>
        <v>-23020.833333333332</v>
      </c>
      <c r="BA54" s="1">
        <f t="shared" si="25"/>
        <v>0</v>
      </c>
      <c r="BB54" s="1">
        <f t="shared" si="25"/>
        <v>0</v>
      </c>
      <c r="BC54" s="1">
        <f t="shared" si="25"/>
        <v>0</v>
      </c>
    </row>
    <row r="55" spans="2:55" x14ac:dyDescent="0.25">
      <c r="B55" s="5"/>
      <c r="C55" s="5"/>
      <c r="D55" s="5"/>
      <c r="E55" s="5"/>
    </row>
    <row r="56" spans="2:55" x14ac:dyDescent="0.25">
      <c r="B56" s="8" t="s">
        <v>8</v>
      </c>
      <c r="C56" s="8"/>
      <c r="D56" s="8"/>
      <c r="E56" s="8">
        <f>SUM(E49:E55)</f>
        <v>1235000</v>
      </c>
      <c r="H56" s="8" t="str">
        <f>B56</f>
        <v>Total Property Costs</v>
      </c>
      <c r="I56" s="8">
        <f t="shared" ref="I56" si="27">SUM(K56:BC56)</f>
        <v>-2485421.2542857151</v>
      </c>
      <c r="J56" s="8"/>
      <c r="K56" s="8">
        <f>SUM(K49:K55)</f>
        <v>0</v>
      </c>
      <c r="L56" s="8">
        <f t="shared" ref="L56:BC56" si="28">SUM(L49:L55)</f>
        <v>0</v>
      </c>
      <c r="M56" s="8">
        <f t="shared" si="28"/>
        <v>0</v>
      </c>
      <c r="N56" s="8">
        <f t="shared" si="28"/>
        <v>0</v>
      </c>
      <c r="O56" s="8">
        <f t="shared" si="28"/>
        <v>0</v>
      </c>
      <c r="P56" s="8">
        <f t="shared" si="28"/>
        <v>0</v>
      </c>
      <c r="Q56" s="8">
        <f t="shared" si="28"/>
        <v>0</v>
      </c>
      <c r="R56" s="8">
        <f t="shared" si="28"/>
        <v>0</v>
      </c>
      <c r="S56" s="8">
        <f t="shared" si="28"/>
        <v>-68870.714285714275</v>
      </c>
      <c r="T56" s="8">
        <f t="shared" si="28"/>
        <v>-11093.333333333332</v>
      </c>
      <c r="U56" s="8">
        <f t="shared" si="28"/>
        <v>-14515.952380952382</v>
      </c>
      <c r="V56" s="8">
        <f t="shared" si="28"/>
        <v>-16863.333333333336</v>
      </c>
      <c r="W56" s="8">
        <f t="shared" si="28"/>
        <v>-15093.75</v>
      </c>
      <c r="X56" s="8">
        <f t="shared" si="28"/>
        <v>-86374.939285714267</v>
      </c>
      <c r="Y56" s="8">
        <f t="shared" si="28"/>
        <v>-26575.35</v>
      </c>
      <c r="Z56" s="8">
        <f t="shared" si="28"/>
        <v>-30117.760714285712</v>
      </c>
      <c r="AA56" s="8">
        <f t="shared" si="28"/>
        <v>-32547.300000000003</v>
      </c>
      <c r="AB56" s="8">
        <f t="shared" si="28"/>
        <v>-30187.5</v>
      </c>
      <c r="AC56" s="8">
        <f t="shared" si="28"/>
        <v>-101468.68928571427</v>
      </c>
      <c r="AD56" s="8">
        <f t="shared" si="28"/>
        <v>-41669.099999999991</v>
      </c>
      <c r="AE56" s="8">
        <f t="shared" si="28"/>
        <v>-107311.51071428569</v>
      </c>
      <c r="AF56" s="8">
        <f t="shared" si="28"/>
        <v>-47783.87999999999</v>
      </c>
      <c r="AG56" s="8">
        <f t="shared" si="28"/>
        <v>-45424.079999999994</v>
      </c>
      <c r="AH56" s="8">
        <f t="shared" si="28"/>
        <v>-45424.079999999994</v>
      </c>
      <c r="AI56" s="8">
        <f t="shared" si="28"/>
        <v>-120668.39836734695</v>
      </c>
      <c r="AJ56" s="8">
        <f t="shared" si="28"/>
        <v>-123058.15238095241</v>
      </c>
      <c r="AK56" s="8">
        <f t="shared" si="28"/>
        <v>-62531.906394557824</v>
      </c>
      <c r="AL56" s="8">
        <f t="shared" si="28"/>
        <v>-65053.146666666675</v>
      </c>
      <c r="AM56" s="8">
        <f t="shared" si="28"/>
        <v>-62613.546666666676</v>
      </c>
      <c r="AN56" s="8">
        <f t="shared" si="28"/>
        <v>-62613.546666666676</v>
      </c>
      <c r="AO56" s="8">
        <f t="shared" si="28"/>
        <v>-200521.78503401365</v>
      </c>
      <c r="AP56" s="8">
        <f t="shared" si="28"/>
        <v>-74511.539047619051</v>
      </c>
      <c r="AQ56" s="8">
        <f t="shared" si="28"/>
        <v>-142385.29306122448</v>
      </c>
      <c r="AR56" s="8">
        <f t="shared" si="28"/>
        <v>-80706.53333333334</v>
      </c>
      <c r="AS56" s="8">
        <f t="shared" si="28"/>
        <v>-78266.933333333349</v>
      </c>
      <c r="AT56" s="8">
        <f t="shared" si="28"/>
        <v>-78266.933333333349</v>
      </c>
      <c r="AU56" s="8">
        <f t="shared" si="28"/>
        <v>-142466.93333333335</v>
      </c>
      <c r="AV56" s="8">
        <f t="shared" si="28"/>
        <v>-147127.06666666665</v>
      </c>
      <c r="AW56" s="8">
        <f t="shared" si="28"/>
        <v>-80827.066666666666</v>
      </c>
      <c r="AX56" s="8">
        <f t="shared" si="28"/>
        <v>-80827.066666666666</v>
      </c>
      <c r="AY56" s="8">
        <f t="shared" si="28"/>
        <v>-80827.066666666666</v>
      </c>
      <c r="AZ56" s="8">
        <f t="shared" si="28"/>
        <v>-80827.066666666666</v>
      </c>
      <c r="BA56" s="8">
        <f t="shared" si="28"/>
        <v>0</v>
      </c>
      <c r="BB56" s="8">
        <f t="shared" si="28"/>
        <v>0</v>
      </c>
      <c r="BC56" s="8">
        <f t="shared" si="28"/>
        <v>0</v>
      </c>
    </row>
    <row r="58" spans="2:55" ht="15.75" x14ac:dyDescent="0.25">
      <c r="B58" s="44" t="s">
        <v>82</v>
      </c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</row>
    <row r="60" spans="2:55" x14ac:dyDescent="0.25">
      <c r="B60" s="8" t="s">
        <v>0</v>
      </c>
      <c r="C60" s="8" t="s">
        <v>0</v>
      </c>
      <c r="D60" s="8" t="s">
        <v>93</v>
      </c>
      <c r="E60" s="9" t="s">
        <v>74</v>
      </c>
      <c r="I60" s="35"/>
    </row>
    <row r="61" spans="2:55" x14ac:dyDescent="0.25">
      <c r="B61" s="5" t="s">
        <v>83</v>
      </c>
      <c r="C61" s="50">
        <v>10000</v>
      </c>
      <c r="D61" s="6"/>
      <c r="E61" s="5">
        <f>C61</f>
        <v>10000</v>
      </c>
      <c r="H61" s="45" t="str">
        <f>B61</f>
        <v>Rental Marketing</v>
      </c>
      <c r="I61" s="60">
        <f>SUM(K61:BC61)</f>
        <v>-28333.333333333321</v>
      </c>
      <c r="J61" s="45"/>
      <c r="K61" s="45">
        <f>(K32&gt;0)*(-$E$61/12)*K$100</f>
        <v>0</v>
      </c>
      <c r="L61" s="45">
        <f>(L32&gt;0)*-$E$61/12</f>
        <v>0</v>
      </c>
      <c r="M61" s="45">
        <f t="shared" ref="M61:BC61" si="29">(M32&gt;0)*-$E$61/12</f>
        <v>0</v>
      </c>
      <c r="N61" s="45">
        <f t="shared" si="29"/>
        <v>0</v>
      </c>
      <c r="O61" s="45">
        <f t="shared" si="29"/>
        <v>0</v>
      </c>
      <c r="P61" s="45">
        <f t="shared" si="29"/>
        <v>0</v>
      </c>
      <c r="Q61" s="45">
        <f t="shared" si="29"/>
        <v>0</v>
      </c>
      <c r="R61" s="45">
        <f t="shared" si="29"/>
        <v>0</v>
      </c>
      <c r="S61" s="45">
        <f t="shared" si="29"/>
        <v>-833.33333333333337</v>
      </c>
      <c r="T61" s="45">
        <f t="shared" si="29"/>
        <v>-833.33333333333337</v>
      </c>
      <c r="U61" s="45">
        <f t="shared" si="29"/>
        <v>-833.33333333333337</v>
      </c>
      <c r="V61" s="45">
        <f t="shared" si="29"/>
        <v>-833.33333333333337</v>
      </c>
      <c r="W61" s="45">
        <f t="shared" si="29"/>
        <v>-833.33333333333337</v>
      </c>
      <c r="X61" s="45">
        <f t="shared" si="29"/>
        <v>-833.33333333333337</v>
      </c>
      <c r="Y61" s="45">
        <f t="shared" si="29"/>
        <v>-833.33333333333337</v>
      </c>
      <c r="Z61" s="45">
        <f t="shared" si="29"/>
        <v>-833.33333333333337</v>
      </c>
      <c r="AA61" s="45">
        <f t="shared" si="29"/>
        <v>-833.33333333333337</v>
      </c>
      <c r="AB61" s="45">
        <f t="shared" si="29"/>
        <v>-833.33333333333337</v>
      </c>
      <c r="AC61" s="45">
        <f t="shared" si="29"/>
        <v>-833.33333333333337</v>
      </c>
      <c r="AD61" s="45">
        <f t="shared" si="29"/>
        <v>-833.33333333333337</v>
      </c>
      <c r="AE61" s="45">
        <f t="shared" si="29"/>
        <v>-833.33333333333337</v>
      </c>
      <c r="AF61" s="45">
        <f t="shared" si="29"/>
        <v>-833.33333333333337</v>
      </c>
      <c r="AG61" s="45">
        <f t="shared" si="29"/>
        <v>-833.33333333333337</v>
      </c>
      <c r="AH61" s="45">
        <f t="shared" si="29"/>
        <v>-833.33333333333337</v>
      </c>
      <c r="AI61" s="45">
        <f t="shared" si="29"/>
        <v>-833.33333333333337</v>
      </c>
      <c r="AJ61" s="45">
        <f t="shared" si="29"/>
        <v>-833.33333333333337</v>
      </c>
      <c r="AK61" s="45">
        <f t="shared" si="29"/>
        <v>-833.33333333333337</v>
      </c>
      <c r="AL61" s="45">
        <f t="shared" si="29"/>
        <v>-833.33333333333337</v>
      </c>
      <c r="AM61" s="45">
        <f t="shared" si="29"/>
        <v>-833.33333333333337</v>
      </c>
      <c r="AN61" s="45">
        <f t="shared" si="29"/>
        <v>-833.33333333333337</v>
      </c>
      <c r="AO61" s="45">
        <f t="shared" si="29"/>
        <v>-833.33333333333337</v>
      </c>
      <c r="AP61" s="45">
        <f t="shared" si="29"/>
        <v>-833.33333333333337</v>
      </c>
      <c r="AQ61" s="45">
        <f t="shared" si="29"/>
        <v>-833.33333333333337</v>
      </c>
      <c r="AR61" s="45">
        <f t="shared" si="29"/>
        <v>-833.33333333333337</v>
      </c>
      <c r="AS61" s="45">
        <f t="shared" si="29"/>
        <v>-833.33333333333337</v>
      </c>
      <c r="AT61" s="45">
        <f t="shared" si="29"/>
        <v>-833.33333333333337</v>
      </c>
      <c r="AU61" s="45">
        <f t="shared" si="29"/>
        <v>-833.33333333333337</v>
      </c>
      <c r="AV61" s="45">
        <f t="shared" si="29"/>
        <v>-833.33333333333337</v>
      </c>
      <c r="AW61" s="45">
        <f t="shared" si="29"/>
        <v>-833.33333333333337</v>
      </c>
      <c r="AX61" s="45">
        <f t="shared" si="29"/>
        <v>-833.33333333333337</v>
      </c>
      <c r="AY61" s="45">
        <f t="shared" si="29"/>
        <v>-833.33333333333337</v>
      </c>
      <c r="AZ61" s="45">
        <f t="shared" si="29"/>
        <v>-833.33333333333337</v>
      </c>
      <c r="BA61" s="45">
        <f t="shared" si="29"/>
        <v>0</v>
      </c>
      <c r="BB61" s="45">
        <f t="shared" si="29"/>
        <v>0</v>
      </c>
      <c r="BC61" s="45">
        <f t="shared" si="29"/>
        <v>0</v>
      </c>
    </row>
    <row r="62" spans="2:55" x14ac:dyDescent="0.25">
      <c r="B62" s="5" t="s">
        <v>84</v>
      </c>
      <c r="C62" s="50">
        <v>50000</v>
      </c>
      <c r="D62" s="6">
        <v>3</v>
      </c>
      <c r="E62" s="5">
        <f t="shared" ref="E62:E67" si="30">C62*D62</f>
        <v>150000</v>
      </c>
      <c r="H62" s="1" t="str">
        <f t="shared" ref="H62:H69" si="31">B62</f>
        <v>Manager / Front of House Payroll</v>
      </c>
      <c r="I62" s="61">
        <f t="shared" ref="I62:I69" si="32">SUM(K62:BC62)</f>
        <v>-295178.57142857148</v>
      </c>
      <c r="K62" s="1">
        <f>((K$128/MAX($K$128:$BC$128))*-($E62/12))*K$100</f>
        <v>0</v>
      </c>
      <c r="L62" s="1">
        <f t="shared" ref="L62:BC67" si="33">((L$128/MAX($K$128:$BC$128))*-($E62/12))*L$100</f>
        <v>0</v>
      </c>
      <c r="M62" s="1">
        <f t="shared" si="33"/>
        <v>0</v>
      </c>
      <c r="N62" s="1">
        <f t="shared" si="33"/>
        <v>0</v>
      </c>
      <c r="O62" s="1">
        <f t="shared" si="33"/>
        <v>0</v>
      </c>
      <c r="P62" s="1">
        <f t="shared" si="33"/>
        <v>0</v>
      </c>
      <c r="Q62" s="1">
        <f t="shared" si="33"/>
        <v>0</v>
      </c>
      <c r="R62" s="1">
        <f t="shared" si="33"/>
        <v>0</v>
      </c>
      <c r="S62" s="1">
        <f t="shared" si="33"/>
        <v>-841.83673469387759</v>
      </c>
      <c r="T62" s="1">
        <f t="shared" si="33"/>
        <v>-1428.5714285714284</v>
      </c>
      <c r="U62" s="1">
        <f t="shared" si="33"/>
        <v>-2015.3061224489795</v>
      </c>
      <c r="V62" s="1">
        <f t="shared" si="33"/>
        <v>-2500</v>
      </c>
      <c r="W62" s="1">
        <f t="shared" si="33"/>
        <v>-2587.5</v>
      </c>
      <c r="X62" s="1">
        <f t="shared" si="33"/>
        <v>-3458.8010204081629</v>
      </c>
      <c r="Y62" s="1">
        <f t="shared" si="33"/>
        <v>-4066.071428571428</v>
      </c>
      <c r="Z62" s="1">
        <f t="shared" si="33"/>
        <v>-4673.3418367346931</v>
      </c>
      <c r="AA62" s="1">
        <f t="shared" si="33"/>
        <v>-5175</v>
      </c>
      <c r="AB62" s="1">
        <f t="shared" si="33"/>
        <v>-5175</v>
      </c>
      <c r="AC62" s="1">
        <f t="shared" si="33"/>
        <v>-6046.3010204081629</v>
      </c>
      <c r="AD62" s="1">
        <f t="shared" si="33"/>
        <v>-6653.5714285714266</v>
      </c>
      <c r="AE62" s="1">
        <f t="shared" si="33"/>
        <v>-7260.8418367346931</v>
      </c>
      <c r="AF62" s="1">
        <f t="shared" si="33"/>
        <v>-7762.4999999999991</v>
      </c>
      <c r="AG62" s="1">
        <f t="shared" si="33"/>
        <v>-7762.4999999999991</v>
      </c>
      <c r="AH62" s="1">
        <f t="shared" si="33"/>
        <v>-7762.4999999999991</v>
      </c>
      <c r="AI62" s="1">
        <f t="shared" si="33"/>
        <v>-8925.7653061224501</v>
      </c>
      <c r="AJ62" s="1">
        <f t="shared" si="33"/>
        <v>-9553.5714285714294</v>
      </c>
      <c r="AK62" s="1">
        <f t="shared" si="33"/>
        <v>-10181.377551020409</v>
      </c>
      <c r="AL62" s="1">
        <f t="shared" si="33"/>
        <v>-10700</v>
      </c>
      <c r="AM62" s="1">
        <f t="shared" si="33"/>
        <v>-10700</v>
      </c>
      <c r="AN62" s="1">
        <f t="shared" si="33"/>
        <v>-10700</v>
      </c>
      <c r="AO62" s="1">
        <f t="shared" si="33"/>
        <v>-11600.76530612245</v>
      </c>
      <c r="AP62" s="1">
        <f t="shared" si="33"/>
        <v>-12228.571428571428</v>
      </c>
      <c r="AQ62" s="1">
        <f t="shared" si="33"/>
        <v>-12856.377551020409</v>
      </c>
      <c r="AR62" s="1">
        <f t="shared" si="33"/>
        <v>-13375</v>
      </c>
      <c r="AS62" s="1">
        <f t="shared" si="33"/>
        <v>-13375</v>
      </c>
      <c r="AT62" s="1">
        <f t="shared" si="33"/>
        <v>-13375</v>
      </c>
      <c r="AU62" s="1">
        <f t="shared" si="33"/>
        <v>-13375</v>
      </c>
      <c r="AV62" s="1">
        <f t="shared" si="33"/>
        <v>-13812.5</v>
      </c>
      <c r="AW62" s="1">
        <f t="shared" si="33"/>
        <v>-13812.5</v>
      </c>
      <c r="AX62" s="1">
        <f t="shared" si="33"/>
        <v>-13812.5</v>
      </c>
      <c r="AY62" s="1">
        <f t="shared" si="33"/>
        <v>-13812.5</v>
      </c>
      <c r="AZ62" s="1">
        <f t="shared" si="33"/>
        <v>-13812.5</v>
      </c>
      <c r="BA62" s="1">
        <f t="shared" si="33"/>
        <v>0</v>
      </c>
      <c r="BB62" s="1">
        <f t="shared" si="33"/>
        <v>0</v>
      </c>
      <c r="BC62" s="1">
        <f t="shared" si="33"/>
        <v>0</v>
      </c>
    </row>
    <row r="63" spans="2:55" x14ac:dyDescent="0.25">
      <c r="B63" s="5" t="s">
        <v>85</v>
      </c>
      <c r="C63" s="50">
        <v>36000</v>
      </c>
      <c r="D63" s="6">
        <v>4</v>
      </c>
      <c r="E63" s="5">
        <f t="shared" si="30"/>
        <v>144000</v>
      </c>
      <c r="H63" s="45" t="str">
        <f t="shared" si="31"/>
        <v>Asst Manager / Front of House Payroll</v>
      </c>
      <c r="I63" s="60">
        <f t="shared" si="32"/>
        <v>-283371.42857142852</v>
      </c>
      <c r="J63" s="45"/>
      <c r="K63" s="45">
        <f t="shared" ref="K63:AA67" si="34">((K$128/MAX($K$128:$BC$128))*-($E63/12))*K$100</f>
        <v>0</v>
      </c>
      <c r="L63" s="45">
        <f t="shared" si="34"/>
        <v>0</v>
      </c>
      <c r="M63" s="45">
        <f t="shared" si="34"/>
        <v>0</v>
      </c>
      <c r="N63" s="45">
        <f t="shared" si="34"/>
        <v>0</v>
      </c>
      <c r="O63" s="45">
        <f t="shared" si="34"/>
        <v>0</v>
      </c>
      <c r="P63" s="45">
        <f t="shared" si="34"/>
        <v>0</v>
      </c>
      <c r="Q63" s="45">
        <f t="shared" si="34"/>
        <v>0</v>
      </c>
      <c r="R63" s="45">
        <f t="shared" si="34"/>
        <v>0</v>
      </c>
      <c r="S63" s="45">
        <f t="shared" si="34"/>
        <v>-808.16326530612253</v>
      </c>
      <c r="T63" s="45">
        <f t="shared" si="34"/>
        <v>-1371.4285714285713</v>
      </c>
      <c r="U63" s="45">
        <f t="shared" si="34"/>
        <v>-1934.6938775510203</v>
      </c>
      <c r="V63" s="45">
        <f t="shared" si="34"/>
        <v>-2400</v>
      </c>
      <c r="W63" s="45">
        <f t="shared" si="34"/>
        <v>-2484</v>
      </c>
      <c r="X63" s="45">
        <f t="shared" si="34"/>
        <v>-3320.4489795918366</v>
      </c>
      <c r="Y63" s="45">
        <f t="shared" si="34"/>
        <v>-3903.4285714285711</v>
      </c>
      <c r="Z63" s="45">
        <f t="shared" si="34"/>
        <v>-4486.408163265306</v>
      </c>
      <c r="AA63" s="45">
        <f t="shared" si="34"/>
        <v>-4968</v>
      </c>
      <c r="AB63" s="45">
        <f t="shared" si="33"/>
        <v>-4968</v>
      </c>
      <c r="AC63" s="45">
        <f t="shared" si="33"/>
        <v>-5804.4489795918362</v>
      </c>
      <c r="AD63" s="45">
        <f t="shared" si="33"/>
        <v>-6387.4285714285697</v>
      </c>
      <c r="AE63" s="45">
        <f t="shared" si="33"/>
        <v>-6970.4081632653051</v>
      </c>
      <c r="AF63" s="45">
        <f t="shared" si="33"/>
        <v>-7451.9999999999991</v>
      </c>
      <c r="AG63" s="45">
        <f t="shared" si="33"/>
        <v>-7451.9999999999991</v>
      </c>
      <c r="AH63" s="45">
        <f t="shared" si="33"/>
        <v>-7451.9999999999991</v>
      </c>
      <c r="AI63" s="45">
        <f t="shared" si="33"/>
        <v>-8568.7346938775518</v>
      </c>
      <c r="AJ63" s="45">
        <f t="shared" si="33"/>
        <v>-9171.4285714285725</v>
      </c>
      <c r="AK63" s="45">
        <f t="shared" si="33"/>
        <v>-9774.1224489795932</v>
      </c>
      <c r="AL63" s="45">
        <f t="shared" si="33"/>
        <v>-10272</v>
      </c>
      <c r="AM63" s="45">
        <f t="shared" si="33"/>
        <v>-10272</v>
      </c>
      <c r="AN63" s="45">
        <f t="shared" si="33"/>
        <v>-10272</v>
      </c>
      <c r="AO63" s="45">
        <f t="shared" si="33"/>
        <v>-11136.734693877552</v>
      </c>
      <c r="AP63" s="45">
        <f t="shared" si="33"/>
        <v>-11739.428571428571</v>
      </c>
      <c r="AQ63" s="45">
        <f t="shared" si="33"/>
        <v>-12342.122448979593</v>
      </c>
      <c r="AR63" s="45">
        <f t="shared" si="33"/>
        <v>-12840</v>
      </c>
      <c r="AS63" s="45">
        <f t="shared" si="33"/>
        <v>-12840</v>
      </c>
      <c r="AT63" s="45">
        <f t="shared" si="33"/>
        <v>-12840</v>
      </c>
      <c r="AU63" s="45">
        <f t="shared" si="33"/>
        <v>-12840</v>
      </c>
      <c r="AV63" s="45">
        <f t="shared" si="33"/>
        <v>-13260</v>
      </c>
      <c r="AW63" s="45">
        <f t="shared" si="33"/>
        <v>-13260</v>
      </c>
      <c r="AX63" s="45">
        <f t="shared" si="33"/>
        <v>-13260</v>
      </c>
      <c r="AY63" s="45">
        <f t="shared" si="33"/>
        <v>-13260</v>
      </c>
      <c r="AZ63" s="45">
        <f t="shared" si="33"/>
        <v>-13260</v>
      </c>
      <c r="BA63" s="45">
        <f t="shared" si="33"/>
        <v>0</v>
      </c>
      <c r="BB63" s="45">
        <f t="shared" si="33"/>
        <v>0</v>
      </c>
      <c r="BC63" s="45">
        <f t="shared" si="33"/>
        <v>0</v>
      </c>
    </row>
    <row r="64" spans="2:55" x14ac:dyDescent="0.25">
      <c r="B64" s="5" t="s">
        <v>86</v>
      </c>
      <c r="C64" s="50">
        <v>40000</v>
      </c>
      <c r="D64" s="6">
        <v>3</v>
      </c>
      <c r="E64" s="5">
        <f t="shared" si="30"/>
        <v>120000</v>
      </c>
      <c r="H64" s="1" t="str">
        <f t="shared" si="31"/>
        <v>Leasing Agent</v>
      </c>
      <c r="I64" s="61">
        <f t="shared" si="32"/>
        <v>-236142.85714285716</v>
      </c>
      <c r="K64" s="1">
        <f t="shared" si="34"/>
        <v>0</v>
      </c>
      <c r="L64" s="1">
        <f t="shared" si="34"/>
        <v>0</v>
      </c>
      <c r="M64" s="1">
        <f t="shared" si="34"/>
        <v>0</v>
      </c>
      <c r="N64" s="1">
        <f t="shared" si="34"/>
        <v>0</v>
      </c>
      <c r="O64" s="1">
        <f t="shared" si="34"/>
        <v>0</v>
      </c>
      <c r="P64" s="1">
        <f t="shared" si="34"/>
        <v>0</v>
      </c>
      <c r="Q64" s="1">
        <f t="shared" si="34"/>
        <v>0</v>
      </c>
      <c r="R64" s="1">
        <f t="shared" si="34"/>
        <v>0</v>
      </c>
      <c r="S64" s="1">
        <f t="shared" si="34"/>
        <v>-673.46938775510205</v>
      </c>
      <c r="T64" s="1">
        <f t="shared" si="34"/>
        <v>-1142.8571428571429</v>
      </c>
      <c r="U64" s="1">
        <f t="shared" si="34"/>
        <v>-1612.2448979591836</v>
      </c>
      <c r="V64" s="1">
        <f t="shared" si="34"/>
        <v>-2000</v>
      </c>
      <c r="W64" s="1">
        <f t="shared" si="34"/>
        <v>-2070</v>
      </c>
      <c r="X64" s="1">
        <f t="shared" si="34"/>
        <v>-2767.0408163265301</v>
      </c>
      <c r="Y64" s="1">
        <f t="shared" si="34"/>
        <v>-3252.8571428571422</v>
      </c>
      <c r="Z64" s="1">
        <f t="shared" si="34"/>
        <v>-3738.6734693877547</v>
      </c>
      <c r="AA64" s="1">
        <f t="shared" si="33"/>
        <v>-4140</v>
      </c>
      <c r="AB64" s="1">
        <f t="shared" si="33"/>
        <v>-4140</v>
      </c>
      <c r="AC64" s="1">
        <f t="shared" si="33"/>
        <v>-4837.0408163265301</v>
      </c>
      <c r="AD64" s="1">
        <f t="shared" si="33"/>
        <v>-5322.8571428571422</v>
      </c>
      <c r="AE64" s="1">
        <f t="shared" si="33"/>
        <v>-5808.6734693877543</v>
      </c>
      <c r="AF64" s="1">
        <f t="shared" si="33"/>
        <v>-6209.9999999999991</v>
      </c>
      <c r="AG64" s="1">
        <f t="shared" si="33"/>
        <v>-6209.9999999999991</v>
      </c>
      <c r="AH64" s="1">
        <f t="shared" si="33"/>
        <v>-6209.9999999999991</v>
      </c>
      <c r="AI64" s="1">
        <f t="shared" si="33"/>
        <v>-7140.6122448979595</v>
      </c>
      <c r="AJ64" s="1">
        <f t="shared" si="33"/>
        <v>-7642.857142857144</v>
      </c>
      <c r="AK64" s="1">
        <f t="shared" si="33"/>
        <v>-8145.1020408163267</v>
      </c>
      <c r="AL64" s="1">
        <f t="shared" si="33"/>
        <v>-8560</v>
      </c>
      <c r="AM64" s="1">
        <f t="shared" si="33"/>
        <v>-8560</v>
      </c>
      <c r="AN64" s="1">
        <f t="shared" si="33"/>
        <v>-8560</v>
      </c>
      <c r="AO64" s="1">
        <f t="shared" si="33"/>
        <v>-9280.6122448979586</v>
      </c>
      <c r="AP64" s="1">
        <f t="shared" si="33"/>
        <v>-9782.8571428571431</v>
      </c>
      <c r="AQ64" s="1">
        <f t="shared" si="33"/>
        <v>-10285.102040816326</v>
      </c>
      <c r="AR64" s="1">
        <f t="shared" si="33"/>
        <v>-10700</v>
      </c>
      <c r="AS64" s="1">
        <f t="shared" si="33"/>
        <v>-10700</v>
      </c>
      <c r="AT64" s="1">
        <f t="shared" si="33"/>
        <v>-10700</v>
      </c>
      <c r="AU64" s="1">
        <f t="shared" si="33"/>
        <v>-10700</v>
      </c>
      <c r="AV64" s="1">
        <f t="shared" si="33"/>
        <v>-11050</v>
      </c>
      <c r="AW64" s="1">
        <f t="shared" si="33"/>
        <v>-11050</v>
      </c>
      <c r="AX64" s="1">
        <f t="shared" si="33"/>
        <v>-11050</v>
      </c>
      <c r="AY64" s="1">
        <f t="shared" si="33"/>
        <v>-11050</v>
      </c>
      <c r="AZ64" s="1">
        <f t="shared" si="33"/>
        <v>-11050</v>
      </c>
      <c r="BA64" s="1">
        <f t="shared" si="33"/>
        <v>0</v>
      </c>
      <c r="BB64" s="1">
        <f t="shared" si="33"/>
        <v>0</v>
      </c>
      <c r="BC64" s="1">
        <f t="shared" si="33"/>
        <v>0</v>
      </c>
    </row>
    <row r="65" spans="2:55" x14ac:dyDescent="0.25">
      <c r="B65" s="5" t="s">
        <v>87</v>
      </c>
      <c r="C65" s="50">
        <v>45000</v>
      </c>
      <c r="D65" s="6">
        <v>4</v>
      </c>
      <c r="E65" s="5">
        <f t="shared" si="30"/>
        <v>180000</v>
      </c>
      <c r="H65" s="45" t="str">
        <f t="shared" si="31"/>
        <v>Senior Maintenance</v>
      </c>
      <c r="I65" s="60">
        <f t="shared" si="32"/>
        <v>-354214.28571428574</v>
      </c>
      <c r="J65" s="45"/>
      <c r="K65" s="45">
        <f t="shared" si="34"/>
        <v>0</v>
      </c>
      <c r="L65" s="45">
        <f t="shared" si="34"/>
        <v>0</v>
      </c>
      <c r="M65" s="45">
        <f t="shared" si="34"/>
        <v>0</v>
      </c>
      <c r="N65" s="45">
        <f t="shared" si="34"/>
        <v>0</v>
      </c>
      <c r="O65" s="45">
        <f t="shared" si="34"/>
        <v>0</v>
      </c>
      <c r="P65" s="45">
        <f t="shared" si="34"/>
        <v>0</v>
      </c>
      <c r="Q65" s="45">
        <f t="shared" si="34"/>
        <v>0</v>
      </c>
      <c r="R65" s="45">
        <f t="shared" si="34"/>
        <v>0</v>
      </c>
      <c r="S65" s="45">
        <f t="shared" si="34"/>
        <v>-1010.2040816326531</v>
      </c>
      <c r="T65" s="45">
        <f t="shared" si="34"/>
        <v>-1714.2857142857142</v>
      </c>
      <c r="U65" s="45">
        <f t="shared" si="34"/>
        <v>-2418.3673469387754</v>
      </c>
      <c r="V65" s="45">
        <f t="shared" si="34"/>
        <v>-3000</v>
      </c>
      <c r="W65" s="45">
        <f t="shared" si="34"/>
        <v>-3104.9999999999995</v>
      </c>
      <c r="X65" s="45">
        <f t="shared" si="34"/>
        <v>-4150.5612244897957</v>
      </c>
      <c r="Y65" s="45">
        <f t="shared" si="34"/>
        <v>-4879.2857142857138</v>
      </c>
      <c r="Z65" s="45">
        <f t="shared" si="34"/>
        <v>-5608.0102040816328</v>
      </c>
      <c r="AA65" s="45">
        <f t="shared" si="33"/>
        <v>-6209.9999999999991</v>
      </c>
      <c r="AB65" s="45">
        <f t="shared" si="33"/>
        <v>-6209.9999999999991</v>
      </c>
      <c r="AC65" s="45">
        <f t="shared" si="33"/>
        <v>-7255.5612244897957</v>
      </c>
      <c r="AD65" s="45">
        <f t="shared" si="33"/>
        <v>-7984.2857142857129</v>
      </c>
      <c r="AE65" s="45">
        <f t="shared" si="33"/>
        <v>-8713.0102040816309</v>
      </c>
      <c r="AF65" s="45">
        <f t="shared" si="33"/>
        <v>-9315</v>
      </c>
      <c r="AG65" s="45">
        <f t="shared" si="33"/>
        <v>-9315</v>
      </c>
      <c r="AH65" s="45">
        <f t="shared" si="33"/>
        <v>-9315</v>
      </c>
      <c r="AI65" s="45">
        <f t="shared" si="33"/>
        <v>-10710.91836734694</v>
      </c>
      <c r="AJ65" s="45">
        <f t="shared" si="33"/>
        <v>-11464.285714285714</v>
      </c>
      <c r="AK65" s="45">
        <f t="shared" si="33"/>
        <v>-12217.653061224491</v>
      </c>
      <c r="AL65" s="45">
        <f t="shared" si="33"/>
        <v>-12840</v>
      </c>
      <c r="AM65" s="45">
        <f t="shared" si="33"/>
        <v>-12840</v>
      </c>
      <c r="AN65" s="45">
        <f t="shared" si="33"/>
        <v>-12840</v>
      </c>
      <c r="AO65" s="45">
        <f t="shared" si="33"/>
        <v>-13920.918367346938</v>
      </c>
      <c r="AP65" s="45">
        <f t="shared" si="33"/>
        <v>-14674.285714285714</v>
      </c>
      <c r="AQ65" s="45">
        <f t="shared" si="33"/>
        <v>-15427.653061224491</v>
      </c>
      <c r="AR65" s="45">
        <f t="shared" si="33"/>
        <v>-16050.000000000002</v>
      </c>
      <c r="AS65" s="45">
        <f t="shared" si="33"/>
        <v>-16050.000000000002</v>
      </c>
      <c r="AT65" s="45">
        <f t="shared" si="33"/>
        <v>-16050.000000000002</v>
      </c>
      <c r="AU65" s="45">
        <f t="shared" si="33"/>
        <v>-16050.000000000002</v>
      </c>
      <c r="AV65" s="45">
        <f t="shared" si="33"/>
        <v>-16575</v>
      </c>
      <c r="AW65" s="45">
        <f t="shared" si="33"/>
        <v>-16575</v>
      </c>
      <c r="AX65" s="45">
        <f t="shared" si="33"/>
        <v>-16575</v>
      </c>
      <c r="AY65" s="45">
        <f t="shared" si="33"/>
        <v>-16575</v>
      </c>
      <c r="AZ65" s="45">
        <f t="shared" si="33"/>
        <v>-16575</v>
      </c>
      <c r="BA65" s="45">
        <f t="shared" si="33"/>
        <v>0</v>
      </c>
      <c r="BB65" s="45">
        <f t="shared" si="33"/>
        <v>0</v>
      </c>
      <c r="BC65" s="45">
        <f t="shared" si="33"/>
        <v>0</v>
      </c>
    </row>
    <row r="66" spans="2:55" x14ac:dyDescent="0.25">
      <c r="B66" s="5" t="s">
        <v>88</v>
      </c>
      <c r="C66" s="50">
        <v>30000</v>
      </c>
      <c r="D66" s="6">
        <v>6</v>
      </c>
      <c r="E66" s="5">
        <f t="shared" si="30"/>
        <v>180000</v>
      </c>
      <c r="H66" s="1" t="str">
        <f t="shared" si="31"/>
        <v>Assistant Maintenance</v>
      </c>
      <c r="I66" s="61">
        <f t="shared" si="32"/>
        <v>-354214.28571428574</v>
      </c>
      <c r="K66" s="1">
        <f t="shared" si="34"/>
        <v>0</v>
      </c>
      <c r="L66" s="1">
        <f t="shared" si="34"/>
        <v>0</v>
      </c>
      <c r="M66" s="1">
        <f t="shared" si="34"/>
        <v>0</v>
      </c>
      <c r="N66" s="1">
        <f t="shared" si="34"/>
        <v>0</v>
      </c>
      <c r="O66" s="1">
        <f t="shared" si="34"/>
        <v>0</v>
      </c>
      <c r="P66" s="1">
        <f t="shared" si="34"/>
        <v>0</v>
      </c>
      <c r="Q66" s="1">
        <f t="shared" si="34"/>
        <v>0</v>
      </c>
      <c r="R66" s="1">
        <f t="shared" si="34"/>
        <v>0</v>
      </c>
      <c r="S66" s="1">
        <f t="shared" si="34"/>
        <v>-1010.2040816326531</v>
      </c>
      <c r="T66" s="1">
        <f t="shared" si="34"/>
        <v>-1714.2857142857142</v>
      </c>
      <c r="U66" s="1">
        <f t="shared" si="34"/>
        <v>-2418.3673469387754</v>
      </c>
      <c r="V66" s="1">
        <f t="shared" si="34"/>
        <v>-3000</v>
      </c>
      <c r="W66" s="1">
        <f t="shared" si="34"/>
        <v>-3104.9999999999995</v>
      </c>
      <c r="X66" s="1">
        <f t="shared" si="34"/>
        <v>-4150.5612244897957</v>
      </c>
      <c r="Y66" s="1">
        <f t="shared" si="34"/>
        <v>-4879.2857142857138</v>
      </c>
      <c r="Z66" s="1">
        <f t="shared" si="34"/>
        <v>-5608.0102040816328</v>
      </c>
      <c r="AA66" s="1">
        <f t="shared" si="33"/>
        <v>-6209.9999999999991</v>
      </c>
      <c r="AB66" s="1">
        <f t="shared" si="33"/>
        <v>-6209.9999999999991</v>
      </c>
      <c r="AC66" s="1">
        <f t="shared" si="33"/>
        <v>-7255.5612244897957</v>
      </c>
      <c r="AD66" s="1">
        <f t="shared" si="33"/>
        <v>-7984.2857142857129</v>
      </c>
      <c r="AE66" s="1">
        <f t="shared" si="33"/>
        <v>-8713.0102040816309</v>
      </c>
      <c r="AF66" s="1">
        <f t="shared" si="33"/>
        <v>-9315</v>
      </c>
      <c r="AG66" s="1">
        <f t="shared" si="33"/>
        <v>-9315</v>
      </c>
      <c r="AH66" s="1">
        <f t="shared" si="33"/>
        <v>-9315</v>
      </c>
      <c r="AI66" s="1">
        <f t="shared" si="33"/>
        <v>-10710.91836734694</v>
      </c>
      <c r="AJ66" s="1">
        <f t="shared" si="33"/>
        <v>-11464.285714285714</v>
      </c>
      <c r="AK66" s="1">
        <f t="shared" si="33"/>
        <v>-12217.653061224491</v>
      </c>
      <c r="AL66" s="1">
        <f t="shared" si="33"/>
        <v>-12840</v>
      </c>
      <c r="AM66" s="1">
        <f t="shared" si="33"/>
        <v>-12840</v>
      </c>
      <c r="AN66" s="1">
        <f t="shared" si="33"/>
        <v>-12840</v>
      </c>
      <c r="AO66" s="1">
        <f t="shared" si="33"/>
        <v>-13920.918367346938</v>
      </c>
      <c r="AP66" s="1">
        <f t="shared" si="33"/>
        <v>-14674.285714285714</v>
      </c>
      <c r="AQ66" s="1">
        <f t="shared" si="33"/>
        <v>-15427.653061224491</v>
      </c>
      <c r="AR66" s="1">
        <f t="shared" si="33"/>
        <v>-16050.000000000002</v>
      </c>
      <c r="AS66" s="1">
        <f t="shared" si="33"/>
        <v>-16050.000000000002</v>
      </c>
      <c r="AT66" s="1">
        <f t="shared" si="33"/>
        <v>-16050.000000000002</v>
      </c>
      <c r="AU66" s="1">
        <f t="shared" si="33"/>
        <v>-16050.000000000002</v>
      </c>
      <c r="AV66" s="1">
        <f t="shared" si="33"/>
        <v>-16575</v>
      </c>
      <c r="AW66" s="1">
        <f t="shared" si="33"/>
        <v>-16575</v>
      </c>
      <c r="AX66" s="1">
        <f t="shared" si="33"/>
        <v>-16575</v>
      </c>
      <c r="AY66" s="1">
        <f t="shared" si="33"/>
        <v>-16575</v>
      </c>
      <c r="AZ66" s="1">
        <f t="shared" si="33"/>
        <v>-16575</v>
      </c>
      <c r="BA66" s="1">
        <f t="shared" si="33"/>
        <v>0</v>
      </c>
      <c r="BB66" s="1">
        <f t="shared" si="33"/>
        <v>0</v>
      </c>
      <c r="BC66" s="1">
        <f t="shared" si="33"/>
        <v>0</v>
      </c>
    </row>
    <row r="67" spans="2:55" x14ac:dyDescent="0.25">
      <c r="B67" s="5" t="s">
        <v>89</v>
      </c>
      <c r="C67" s="50">
        <v>27500</v>
      </c>
      <c r="D67" s="6">
        <v>4</v>
      </c>
      <c r="E67" s="5">
        <f t="shared" si="30"/>
        <v>110000</v>
      </c>
      <c r="H67" s="45" t="str">
        <f t="shared" si="31"/>
        <v>Concierge</v>
      </c>
      <c r="I67" s="60">
        <f t="shared" si="32"/>
        <v>-216464.28571428571</v>
      </c>
      <c r="J67" s="45"/>
      <c r="K67" s="45">
        <f t="shared" si="34"/>
        <v>0</v>
      </c>
      <c r="L67" s="45">
        <f t="shared" si="34"/>
        <v>0</v>
      </c>
      <c r="M67" s="45">
        <f t="shared" si="34"/>
        <v>0</v>
      </c>
      <c r="N67" s="45">
        <f t="shared" si="34"/>
        <v>0</v>
      </c>
      <c r="O67" s="45">
        <f t="shared" si="34"/>
        <v>0</v>
      </c>
      <c r="P67" s="45">
        <f t="shared" si="34"/>
        <v>0</v>
      </c>
      <c r="Q67" s="45">
        <f t="shared" si="34"/>
        <v>0</v>
      </c>
      <c r="R67" s="45">
        <f t="shared" si="34"/>
        <v>0</v>
      </c>
      <c r="S67" s="45">
        <f t="shared" si="34"/>
        <v>-617.34693877551024</v>
      </c>
      <c r="T67" s="45">
        <f t="shared" si="34"/>
        <v>-1047.6190476190475</v>
      </c>
      <c r="U67" s="45">
        <f t="shared" si="34"/>
        <v>-1477.8911564625848</v>
      </c>
      <c r="V67" s="45">
        <f t="shared" si="34"/>
        <v>-1833.3333333333333</v>
      </c>
      <c r="W67" s="45">
        <f t="shared" si="34"/>
        <v>-1897.4999999999998</v>
      </c>
      <c r="X67" s="45">
        <f t="shared" si="34"/>
        <v>-2536.4540816326526</v>
      </c>
      <c r="Y67" s="45">
        <f t="shared" si="34"/>
        <v>-2981.7857142857138</v>
      </c>
      <c r="Z67" s="45">
        <f t="shared" si="34"/>
        <v>-3427.117346938775</v>
      </c>
      <c r="AA67" s="45">
        <f t="shared" si="33"/>
        <v>-3794.9999999999995</v>
      </c>
      <c r="AB67" s="45">
        <f t="shared" si="33"/>
        <v>-3794.9999999999995</v>
      </c>
      <c r="AC67" s="45">
        <f t="shared" si="33"/>
        <v>-4433.9540816326526</v>
      </c>
      <c r="AD67" s="45">
        <f t="shared" si="33"/>
        <v>-4879.2857142857138</v>
      </c>
      <c r="AE67" s="45">
        <f t="shared" si="33"/>
        <v>-5324.6173469387741</v>
      </c>
      <c r="AF67" s="45">
        <f t="shared" si="33"/>
        <v>-5692.4999999999982</v>
      </c>
      <c r="AG67" s="45">
        <f t="shared" si="33"/>
        <v>-5692.4999999999982</v>
      </c>
      <c r="AH67" s="45">
        <f t="shared" si="33"/>
        <v>-5692.4999999999982</v>
      </c>
      <c r="AI67" s="45">
        <f t="shared" si="33"/>
        <v>-6545.5612244897957</v>
      </c>
      <c r="AJ67" s="45">
        <f t="shared" si="33"/>
        <v>-7005.9523809523816</v>
      </c>
      <c r="AK67" s="45">
        <f t="shared" si="33"/>
        <v>-7466.3435374149667</v>
      </c>
      <c r="AL67" s="45">
        <f t="shared" si="33"/>
        <v>-7846.666666666667</v>
      </c>
      <c r="AM67" s="45">
        <f t="shared" si="33"/>
        <v>-7846.666666666667</v>
      </c>
      <c r="AN67" s="45">
        <f t="shared" si="33"/>
        <v>-7846.666666666667</v>
      </c>
      <c r="AO67" s="45">
        <f t="shared" si="33"/>
        <v>-8507.2278911564626</v>
      </c>
      <c r="AP67" s="45">
        <f t="shared" si="33"/>
        <v>-8967.6190476190477</v>
      </c>
      <c r="AQ67" s="45">
        <f t="shared" si="33"/>
        <v>-9428.0102040816328</v>
      </c>
      <c r="AR67" s="45">
        <f t="shared" si="33"/>
        <v>-9808.3333333333339</v>
      </c>
      <c r="AS67" s="45">
        <f t="shared" si="33"/>
        <v>-9808.3333333333339</v>
      </c>
      <c r="AT67" s="45">
        <f t="shared" si="33"/>
        <v>-9808.3333333333339</v>
      </c>
      <c r="AU67" s="45">
        <f t="shared" si="33"/>
        <v>-9808.3333333333339</v>
      </c>
      <c r="AV67" s="45">
        <f t="shared" si="33"/>
        <v>-10129.166666666666</v>
      </c>
      <c r="AW67" s="45">
        <f t="shared" si="33"/>
        <v>-10129.166666666666</v>
      </c>
      <c r="AX67" s="45">
        <f t="shared" si="33"/>
        <v>-10129.166666666666</v>
      </c>
      <c r="AY67" s="45">
        <f t="shared" si="33"/>
        <v>-10129.166666666666</v>
      </c>
      <c r="AZ67" s="45">
        <f t="shared" si="33"/>
        <v>-10129.166666666666</v>
      </c>
      <c r="BA67" s="45">
        <f t="shared" si="33"/>
        <v>0</v>
      </c>
      <c r="BB67" s="45">
        <f t="shared" si="33"/>
        <v>0</v>
      </c>
      <c r="BC67" s="45">
        <f t="shared" si="33"/>
        <v>0</v>
      </c>
    </row>
    <row r="68" spans="2:55" x14ac:dyDescent="0.25">
      <c r="B68" s="5" t="s">
        <v>90</v>
      </c>
      <c r="C68" s="6">
        <v>500</v>
      </c>
      <c r="D68" s="6"/>
      <c r="E68" s="5">
        <f>C103*C68</f>
        <v>11500</v>
      </c>
      <c r="H68" s="1" t="str">
        <f t="shared" si="31"/>
        <v>Initial Letting fee</v>
      </c>
      <c r="I68" s="61">
        <f t="shared" si="32"/>
        <v>-247434.30059523814</v>
      </c>
      <c r="L68" s="1">
        <f>(L5&lt;$C$99)*((L126-K126)*-$C$68+AND(L5&gt;EDATE('Accom_Phase Schedule'!$E$65,12),L5&lt;$C$99)*-$C$103*($C$68/12)*(L$128/MAX($K$128:$BC$128)))*K$100</f>
        <v>0</v>
      </c>
      <c r="M68" s="1">
        <f>(M5&lt;$C$99)*((M126-L126)*-$C$68+AND(M5&gt;EDATE('Accom_Phase Schedule'!$E$65,12),M5&lt;$C$99)*-$C$103*($C$68/12)*(M$128/MAX($K$128:$BC$128)))*L$100</f>
        <v>0</v>
      </c>
      <c r="N68" s="1">
        <f>(N5&lt;$C$99)*((N126-M126)*-$C$68+AND(N5&gt;EDATE('Accom_Phase Schedule'!$E$65,12),N5&lt;$C$99)*-$C$103*($C$68/12)*(N$128/MAX($K$128:$BC$128)))*M$100</f>
        <v>0</v>
      </c>
      <c r="O68" s="1">
        <f>(O5&lt;$C$99)*((O126-N126)*-$C$68+AND(O5&gt;EDATE('Accom_Phase Schedule'!$E$65,12),O5&lt;$C$99)*-$C$103*($C$68/12)*(O$128/MAX($K$128:$BC$128)))*N$100</f>
        <v>0</v>
      </c>
      <c r="P68" s="1">
        <f>(P5&lt;$C$99)*((P126-O126)*-$C$68+AND(P5&gt;EDATE('Accom_Phase Schedule'!$E$65,12),P5&lt;$C$99)*-$C$103*($C$68/12)*(P$128/MAX($K$128:$BC$128)))*O$100</f>
        <v>0</v>
      </c>
      <c r="Q68" s="1">
        <f>(Q5&lt;$C$99)*((Q126-P126)*-$C$68+AND(Q5&gt;EDATE('Accom_Phase Schedule'!$E$65,12),Q5&lt;$C$99)*-$C$103*($C$68/12)*(Q$128/MAX($K$128:$BC$128)))*P$100</f>
        <v>0</v>
      </c>
      <c r="R68" s="1">
        <f>(R5&lt;$C$99)*((R126-Q126)*-$C$68+AND(R5&gt;EDATE('Accom_Phase Schedule'!$E$65,12),R5&lt;$C$99)*-$C$103*($C$68/12)*(R$128/MAX($K$128:$BC$128)))*Q$100</f>
        <v>0</v>
      </c>
      <c r="S68" s="1">
        <f>(S5&lt;$C$99)*((S126-R126)*-$C$68+AND(S5&gt;EDATE('Accom_Phase Schedule'!$E$65,12),S5&lt;$C$99)*-$C$103*($C$68/12)*(S$128/MAX($K$128:$BC$128)))*R$100</f>
        <v>-11500</v>
      </c>
      <c r="T68" s="1">
        <f>(T5&lt;$C$99)*((T126-S126)*-$C$68+AND(T5&gt;EDATE('Accom_Phase Schedule'!$E$65,12),T5&lt;$C$99)*-$C$103*($C$68/12)*(T$128/MAX($K$128:$BC$128)))*S$100</f>
        <v>-11500</v>
      </c>
      <c r="U68" s="1">
        <f>(U5&lt;$C$99)*((U126-T126)*-$C$68+AND(U5&gt;EDATE('Accom_Phase Schedule'!$E$65,12),U5&lt;$C$99)*-$C$103*($C$68/12)*(U$128/MAX($K$128:$BC$128)))*T$100</f>
        <v>-11500</v>
      </c>
      <c r="V68" s="1">
        <f>(V5&lt;$C$99)*((V126-U126)*-$C$68+AND(V5&gt;EDATE('Accom_Phase Schedule'!$E$65,12),V5&lt;$C$99)*-$C$103*($C$68/12)*(V$128/MAX($K$128:$BC$128)))*U$100</f>
        <v>-9500</v>
      </c>
      <c r="W68" s="1">
        <f>(W5&lt;$C$99)*((W126-V126)*-$C$68+AND(W5&gt;EDATE('Accom_Phase Schedule'!$E$65,12),W5&lt;$C$99)*-$C$103*($C$68/12)*(W$128/MAX($K$128:$BC$128)))*V$100</f>
        <v>0</v>
      </c>
      <c r="X68" s="1">
        <f>(X5&lt;$C$99)*((X126-W126)*-$C$68+AND(X5&gt;EDATE('Accom_Phase Schedule'!$E$65,12),X5&lt;$C$99)*-$C$103*($C$68/12)*(X$128/MAX($K$128:$BC$128)))*W$100</f>
        <v>-11902.499999999998</v>
      </c>
      <c r="Y68" s="1">
        <f>(Y5&lt;$C$99)*((Y126-X126)*-$C$68+AND(Y5&gt;EDATE('Accom_Phase Schedule'!$E$65,12),Y5&lt;$C$99)*-$C$103*($C$68/12)*(Y$128/MAX($K$128:$BC$128)))*X$100</f>
        <v>-11902.499999999998</v>
      </c>
      <c r="Z68" s="1">
        <f>(Z5&lt;$C$99)*((Z126-Y126)*-$C$68+AND(Z5&gt;EDATE('Accom_Phase Schedule'!$E$65,12),Z5&lt;$C$99)*-$C$103*($C$68/12)*(Z$128/MAX($K$128:$BC$128)))*Y$100</f>
        <v>-11902.499999999998</v>
      </c>
      <c r="AA68" s="1">
        <f>(AA5&lt;$C$99)*((AA126-Z126)*-$C$68+AND(AA5&gt;EDATE('Accom_Phase Schedule'!$E$65,12),AA5&lt;$C$99)*-$C$103*($C$68/12)*(AA$128/MAX($K$128:$BC$128)))*Z$100</f>
        <v>-9832.5</v>
      </c>
      <c r="AB68" s="1">
        <f>(AB5&lt;$C$99)*((AB126-AA126)*-$C$68+AND(AB5&gt;EDATE('Accom_Phase Schedule'!$E$65,12),AB5&lt;$C$99)*-$C$103*($C$68/12)*(AB$128/MAX($K$128:$BC$128)))*AA$100</f>
        <v>0</v>
      </c>
      <c r="AC68" s="1">
        <f>(AC5&lt;$C$99)*((AC126-AB126)*-$C$68+AND(AC5&gt;EDATE('Accom_Phase Schedule'!$E$65,12),AC5&lt;$C$99)*-$C$103*($C$68/12)*(AC$128/MAX($K$128:$BC$128)))*AB$100</f>
        <v>-11902.499999999998</v>
      </c>
      <c r="AD68" s="1">
        <f>(AD5&lt;$C$99)*((AD126-AC126)*-$C$68+AND(AD5&gt;EDATE('Accom_Phase Schedule'!$E$65,12),AD5&lt;$C$99)*-$C$103*($C$68/12)*(AD$128/MAX($K$128:$BC$128)))*AC$100</f>
        <v>-11902.499999999998</v>
      </c>
      <c r="AE68" s="1">
        <f>(AE5&lt;$C$99)*((AE126-AD126)*-$C$68+AND(AE5&gt;EDATE('Accom_Phase Schedule'!$E$65,12),AE5&lt;$C$99)*-$C$103*($C$68/12)*(AE$128/MAX($K$128:$BC$128)))*AD$100</f>
        <v>-11902.499999999998</v>
      </c>
      <c r="AF68" s="1">
        <f>(AF5&lt;$C$99)*((AF126-AE126)*-$C$68+AND(AF5&gt;EDATE('Accom_Phase Schedule'!$E$65,12),AF5&lt;$C$99)*-$C$103*($C$68/12)*(AF$128/MAX($K$128:$BC$128)))*AE$100</f>
        <v>-10427.625</v>
      </c>
      <c r="AG68" s="1">
        <f>(AG5&lt;$C$99)*((AG126-AF126)*-$C$68+AND(AG5&gt;EDATE('Accom_Phase Schedule'!$E$65,12),AG5&lt;$C$99)*-$C$103*($C$68/12)*(AG$128/MAX($K$128:$BC$128)))*AF$100</f>
        <v>-595.12499999999989</v>
      </c>
      <c r="AH68" s="1">
        <f>(AH5&lt;$C$99)*((AH126-AG126)*-$C$68+AND(AH5&gt;EDATE('Accom_Phase Schedule'!$E$65,12),AH5&lt;$C$99)*-$C$103*($C$68/12)*(AH$128/MAX($K$128:$BC$128)))*AG$100</f>
        <v>-595.12499999999989</v>
      </c>
      <c r="AI68" s="1">
        <f>(AI5&lt;$C$99)*((AI126-AH126)*-$C$68+AND(AI5&gt;EDATE('Accom_Phase Schedule'!$E$65,12),AI5&lt;$C$99)*-$C$103*($C$68/12)*(AI$128/MAX($K$128:$BC$128)))*AH$100</f>
        <v>-12564.424744897959</v>
      </c>
      <c r="AJ68" s="1">
        <f>(AJ5&lt;$C$99)*((AJ126-AI126)*-$C$68+AND(AJ5&gt;EDATE('Accom_Phase Schedule'!$E$65,12),AJ5&lt;$C$99)*-$C$103*($C$68/12)*(AJ$128/MAX($K$128:$BC$128)))*AI$100</f>
        <v>-13037.440476190477</v>
      </c>
      <c r="AK68" s="1">
        <f>(AK5&lt;$C$99)*((AK126-AJ126)*-$C$68+AND(AK5&gt;EDATE('Accom_Phase Schedule'!$E$65,12),AK5&lt;$C$99)*-$C$103*($C$68/12)*(AK$128/MAX($K$128:$BC$128)))*AJ$100</f>
        <v>-13085.572278911566</v>
      </c>
      <c r="AL68" s="1">
        <f>(AL5&lt;$C$99)*((AL126-AK126)*-$C$68+AND(AL5&gt;EDATE('Accom_Phase Schedule'!$E$65,12),AL5&lt;$C$99)*-$C$103*($C$68/12)*(AL$128/MAX($K$128:$BC$128)))*AK$100</f>
        <v>-10985.333333333334</v>
      </c>
      <c r="AM68" s="1">
        <f>(AM5&lt;$C$99)*((AM126-AL126)*-$C$68+AND(AM5&gt;EDATE('Accom_Phase Schedule'!$E$65,12),AM5&lt;$C$99)*-$C$103*($C$68/12)*(AM$128/MAX($K$128:$BC$128)))*AL$100</f>
        <v>-820.33333333333337</v>
      </c>
      <c r="AN68" s="1">
        <f>(AN5&lt;$C$99)*((AN126-AM126)*-$C$68+AND(AN5&gt;EDATE('Accom_Phase Schedule'!$E$65,12),AN5&lt;$C$99)*-$C$103*($C$68/12)*(AN$128/MAX($K$128:$BC$128)))*AM$100</f>
        <v>-820.33333333333337</v>
      </c>
      <c r="AO68" s="1">
        <f>(AO5&lt;$C$99)*((AO126-AN126)*-$C$68+AND(AO5&gt;EDATE('Accom_Phase Schedule'!$E$65,12),AO5&lt;$C$99)*-$C$103*($C$68/12)*(AO$128/MAX($K$128:$BC$128)))*AN$100</f>
        <v>-13194.392006802722</v>
      </c>
      <c r="AP68" s="1">
        <f>(AP5&lt;$C$99)*((AP126-AO126)*-$C$68+AND(AP5&gt;EDATE('Accom_Phase Schedule'!$E$65,12),AP5&lt;$C$99)*-$C$103*($C$68/12)*(AP$128/MAX($K$128:$BC$128)))*AO$100</f>
        <v>-13242.523809523811</v>
      </c>
      <c r="AQ68" s="1">
        <f>(AQ5&lt;$C$99)*((AQ126-AP126)*-$C$68+AND(AQ5&gt;EDATE('Accom_Phase Schedule'!$E$65,12),AQ5&lt;$C$99)*-$C$103*($C$68/12)*(AQ$128/MAX($K$128:$BC$128)))*AP$100</f>
        <v>-13290.655612244898</v>
      </c>
      <c r="AR68" s="1">
        <f>(AR5&lt;$C$99)*((AR126-AQ126)*-$C$68+AND(AR5&gt;EDATE('Accom_Phase Schedule'!$E$65,12),AR5&lt;$C$99)*-$C$103*($C$68/12)*(AR$128/MAX($K$128:$BC$128)))*AQ$100</f>
        <v>-11190.416666666668</v>
      </c>
      <c r="AS68" s="1">
        <f>(AS5&lt;$C$99)*((AS126-AR126)*-$C$68+AND(AS5&gt;EDATE('Accom_Phase Schedule'!$E$65,12),AS5&lt;$C$99)*-$C$103*($C$68/12)*(AS$128/MAX($K$128:$BC$128)))*AR$100</f>
        <v>-1025.4166666666667</v>
      </c>
      <c r="AT68" s="1">
        <f>(AT5&lt;$C$99)*((AT126-AS126)*-$C$68+AND(AT5&gt;EDATE('Accom_Phase Schedule'!$E$65,12),AT5&lt;$C$99)*-$C$103*($C$68/12)*(AT$128/MAX($K$128:$BC$128)))*AS$100</f>
        <v>-1025.4166666666667</v>
      </c>
      <c r="AU68" s="1">
        <f>(AU5&lt;$C$99)*((AU126-AT126)*-$C$68+AND(AU5&gt;EDATE('Accom_Phase Schedule'!$E$65,12),AU5&lt;$C$99)*-$C$103*($C$68/12)*(AU$128/MAX($K$128:$BC$128)))*AT$100</f>
        <v>-1025.4166666666667</v>
      </c>
      <c r="AV68" s="1">
        <f>(AV5&lt;$C$99)*((AV126-AU126)*-$C$68+AND(AV5&gt;EDATE('Accom_Phase Schedule'!$E$65,12),AV5&lt;$C$99)*-$C$103*($C$68/12)*(AV$128/MAX($K$128:$BC$128)))*AU$100</f>
        <v>-1025.4166666666667</v>
      </c>
      <c r="AW68" s="1">
        <f>(AW5&lt;$C$99)*((AW126-AV126)*-$C$68+AND(AW5&gt;EDATE('Accom_Phase Schedule'!$E$65,12),AW5&lt;$C$99)*-$C$103*($C$68/12)*(AW$128/MAX($K$128:$BC$128)))*AV$100</f>
        <v>-1058.9583333333333</v>
      </c>
      <c r="AX68" s="1">
        <f>(AX5&lt;$C$99)*((AX126-AW126)*-$C$68+AND(AX5&gt;EDATE('Accom_Phase Schedule'!$E$65,12),AX5&lt;$C$99)*-$C$103*($C$68/12)*(AX$128/MAX($K$128:$BC$128)))*AW$100</f>
        <v>-1058.9583333333333</v>
      </c>
      <c r="AY68" s="1">
        <f>(AY5&lt;$C$99)*((AY126-AX126)*-$C$68+AND(AY5&gt;EDATE('Accom_Phase Schedule'!$E$65,12),AY5&lt;$C$99)*-$C$103*($C$68/12)*(AY$128/MAX($K$128:$BC$128)))*AX$100</f>
        <v>-1058.9583333333333</v>
      </c>
      <c r="AZ68" s="1">
        <f>(AZ5&lt;$C$99)*((AZ126-AY126)*-$C$68+AND(AZ5&gt;EDATE('Accom_Phase Schedule'!$E$65,12),AZ5&lt;$C$99)*-$C$103*($C$68/12)*(AZ$128/MAX($K$128:$BC$128)))*AY$100</f>
        <v>-1058.9583333333333</v>
      </c>
      <c r="BA68" s="1">
        <f>(BA5&lt;$C$99)*((BA126-AZ126)*-$C$68+AND(BA5&gt;EDATE('Accom_Phase Schedule'!$E$65,12),BA5&lt;$C$99)*-$C$103*($C$68/12)*(BA$128/MAX($K$128:$BC$128)))*AZ$100</f>
        <v>0</v>
      </c>
      <c r="BB68" s="1">
        <f>(BB5&lt;$C$99)*((BB126-BA126)*-$C$68+AND(BB5&gt;EDATE('Accom_Phase Schedule'!$E$65,12),BB5&lt;$C$99)*-$C$103*($C$68/12)*(BB$128/MAX($K$128:$BC$128)))*BA$100</f>
        <v>0</v>
      </c>
      <c r="BC68" s="1">
        <f>(BC5&lt;$C$99)*((BC126-BB126)*-$C$68+AND(BC5&gt;EDATE('Accom_Phase Schedule'!$E$65,12),BC5&lt;$C$99)*-$C$103*($C$68/12)*(BC$128/MAX($K$128:$BC$128)))*BB$100</f>
        <v>0</v>
      </c>
    </row>
    <row r="69" spans="2:55" x14ac:dyDescent="0.25">
      <c r="B69" s="5" t="s">
        <v>91</v>
      </c>
      <c r="C69" s="50">
        <v>20000</v>
      </c>
      <c r="D69" s="6"/>
      <c r="E69" s="5">
        <f>C69</f>
        <v>20000</v>
      </c>
      <c r="H69" s="45" t="str">
        <f t="shared" si="31"/>
        <v>Software</v>
      </c>
      <c r="I69" s="60">
        <f t="shared" si="32"/>
        <v>-59583.33333333335</v>
      </c>
      <c r="J69" s="45"/>
      <c r="K69" s="45">
        <f>(K32&gt;0)*-$E$69/12</f>
        <v>0</v>
      </c>
      <c r="L69" s="45">
        <f>(L32&gt;0)*(-$E$69/12)*K$100</f>
        <v>0</v>
      </c>
      <c r="M69" s="45">
        <f t="shared" ref="M69:BC69" si="35">(M32&gt;0)*(-$E$69/12)*L$100</f>
        <v>0</v>
      </c>
      <c r="N69" s="45">
        <f t="shared" si="35"/>
        <v>0</v>
      </c>
      <c r="O69" s="45">
        <f t="shared" si="35"/>
        <v>0</v>
      </c>
      <c r="P69" s="45">
        <f t="shared" si="35"/>
        <v>0</v>
      </c>
      <c r="Q69" s="45">
        <f t="shared" si="35"/>
        <v>0</v>
      </c>
      <c r="R69" s="45">
        <f t="shared" si="35"/>
        <v>0</v>
      </c>
      <c r="S69" s="45">
        <f t="shared" si="35"/>
        <v>-1666.6666666666667</v>
      </c>
      <c r="T69" s="45">
        <f t="shared" si="35"/>
        <v>-1666.6666666666667</v>
      </c>
      <c r="U69" s="45">
        <f t="shared" si="35"/>
        <v>-1666.6666666666667</v>
      </c>
      <c r="V69" s="45">
        <f t="shared" si="35"/>
        <v>-1666.6666666666667</v>
      </c>
      <c r="W69" s="45">
        <f t="shared" si="35"/>
        <v>-1666.6666666666667</v>
      </c>
      <c r="X69" s="45">
        <f t="shared" si="35"/>
        <v>-1725</v>
      </c>
      <c r="Y69" s="45">
        <f t="shared" si="35"/>
        <v>-1725</v>
      </c>
      <c r="Z69" s="45">
        <f t="shared" si="35"/>
        <v>-1725</v>
      </c>
      <c r="AA69" s="45">
        <f t="shared" si="35"/>
        <v>-1725</v>
      </c>
      <c r="AB69" s="45">
        <f t="shared" si="35"/>
        <v>-1725</v>
      </c>
      <c r="AC69" s="45">
        <f t="shared" si="35"/>
        <v>-1725</v>
      </c>
      <c r="AD69" s="45">
        <f t="shared" si="35"/>
        <v>-1725</v>
      </c>
      <c r="AE69" s="45">
        <f t="shared" si="35"/>
        <v>-1725</v>
      </c>
      <c r="AF69" s="45">
        <f t="shared" si="35"/>
        <v>-1725</v>
      </c>
      <c r="AG69" s="45">
        <f t="shared" si="35"/>
        <v>-1725</v>
      </c>
      <c r="AH69" s="45">
        <f t="shared" si="35"/>
        <v>-1725</v>
      </c>
      <c r="AI69" s="45">
        <f t="shared" si="35"/>
        <v>-1725</v>
      </c>
      <c r="AJ69" s="45">
        <f t="shared" si="35"/>
        <v>-1783.3333333333335</v>
      </c>
      <c r="AK69" s="45">
        <f t="shared" si="35"/>
        <v>-1783.3333333333335</v>
      </c>
      <c r="AL69" s="45">
        <f t="shared" si="35"/>
        <v>-1783.3333333333335</v>
      </c>
      <c r="AM69" s="45">
        <f t="shared" si="35"/>
        <v>-1783.3333333333335</v>
      </c>
      <c r="AN69" s="45">
        <f t="shared" si="35"/>
        <v>-1783.3333333333335</v>
      </c>
      <c r="AO69" s="45">
        <f t="shared" si="35"/>
        <v>-1783.3333333333335</v>
      </c>
      <c r="AP69" s="45">
        <f t="shared" si="35"/>
        <v>-1783.3333333333335</v>
      </c>
      <c r="AQ69" s="45">
        <f t="shared" si="35"/>
        <v>-1783.3333333333335</v>
      </c>
      <c r="AR69" s="45">
        <f t="shared" si="35"/>
        <v>-1783.3333333333335</v>
      </c>
      <c r="AS69" s="45">
        <f t="shared" si="35"/>
        <v>-1783.3333333333335</v>
      </c>
      <c r="AT69" s="45">
        <f t="shared" si="35"/>
        <v>-1783.3333333333335</v>
      </c>
      <c r="AU69" s="45">
        <f t="shared" si="35"/>
        <v>-1783.3333333333335</v>
      </c>
      <c r="AV69" s="45">
        <f t="shared" si="35"/>
        <v>-1783.3333333333335</v>
      </c>
      <c r="AW69" s="45">
        <f t="shared" si="35"/>
        <v>-1841.6666666666667</v>
      </c>
      <c r="AX69" s="45">
        <f t="shared" si="35"/>
        <v>-1841.6666666666667</v>
      </c>
      <c r="AY69" s="45">
        <f t="shared" si="35"/>
        <v>-1841.6666666666667</v>
      </c>
      <c r="AZ69" s="45">
        <f t="shared" si="35"/>
        <v>-1841.6666666666667</v>
      </c>
      <c r="BA69" s="45">
        <f t="shared" si="35"/>
        <v>0</v>
      </c>
      <c r="BB69" s="45">
        <f t="shared" si="35"/>
        <v>0</v>
      </c>
      <c r="BC69" s="45">
        <f t="shared" si="35"/>
        <v>0</v>
      </c>
    </row>
    <row r="70" spans="2:55" x14ac:dyDescent="0.25">
      <c r="B70" s="5"/>
      <c r="C70" s="7"/>
      <c r="D70" s="6"/>
      <c r="E70" s="5"/>
    </row>
    <row r="71" spans="2:55" x14ac:dyDescent="0.25">
      <c r="B71" s="8" t="s">
        <v>133</v>
      </c>
      <c r="C71" s="8"/>
      <c r="D71" s="8"/>
      <c r="E71" s="8">
        <f>SUM(E61:E70)</f>
        <v>925500</v>
      </c>
      <c r="H71" s="8" t="str">
        <f>B71</f>
        <v>Total self Management Cost</v>
      </c>
      <c r="I71" s="8">
        <f t="shared" ref="I71" si="36">SUM(K71:BC71)</f>
        <v>-2074936.6815476192</v>
      </c>
      <c r="J71" s="8"/>
      <c r="K71" s="8">
        <f>SUM(K61:K69)</f>
        <v>0</v>
      </c>
      <c r="L71" s="8">
        <f t="shared" ref="L71:BC71" si="37">SUM(L61:L69)</f>
        <v>0</v>
      </c>
      <c r="M71" s="8">
        <f t="shared" si="37"/>
        <v>0</v>
      </c>
      <c r="N71" s="8">
        <f t="shared" si="37"/>
        <v>0</v>
      </c>
      <c r="O71" s="8">
        <f t="shared" si="37"/>
        <v>0</v>
      </c>
      <c r="P71" s="8">
        <f t="shared" si="37"/>
        <v>0</v>
      </c>
      <c r="Q71" s="8">
        <f t="shared" si="37"/>
        <v>0</v>
      </c>
      <c r="R71" s="8">
        <f t="shared" si="37"/>
        <v>0</v>
      </c>
      <c r="S71" s="8">
        <f t="shared" si="37"/>
        <v>-18961.224489795921</v>
      </c>
      <c r="T71" s="8">
        <f t="shared" si="37"/>
        <v>-22419.047619047622</v>
      </c>
      <c r="U71" s="8">
        <f t="shared" si="37"/>
        <v>-25876.870748299323</v>
      </c>
      <c r="V71" s="8">
        <f t="shared" si="37"/>
        <v>-26733.333333333336</v>
      </c>
      <c r="W71" s="8">
        <f t="shared" si="37"/>
        <v>-17749</v>
      </c>
      <c r="X71" s="8">
        <f t="shared" si="37"/>
        <v>-34844.700680272108</v>
      </c>
      <c r="Y71" s="8">
        <f t="shared" si="37"/>
        <v>-38423.547619047611</v>
      </c>
      <c r="Z71" s="8">
        <f t="shared" si="37"/>
        <v>-42002.394557823129</v>
      </c>
      <c r="AA71" s="8">
        <f t="shared" si="37"/>
        <v>-42888.833333333328</v>
      </c>
      <c r="AB71" s="8">
        <f t="shared" si="37"/>
        <v>-33056.333333333328</v>
      </c>
      <c r="AC71" s="8">
        <f t="shared" si="37"/>
        <v>-50093.700680272108</v>
      </c>
      <c r="AD71" s="8">
        <f t="shared" si="37"/>
        <v>-53672.547619047604</v>
      </c>
      <c r="AE71" s="8">
        <f t="shared" si="37"/>
        <v>-57251.394557823121</v>
      </c>
      <c r="AF71" s="8">
        <f t="shared" si="37"/>
        <v>-58732.958333333328</v>
      </c>
      <c r="AG71" s="8">
        <f t="shared" si="37"/>
        <v>-48900.458333333328</v>
      </c>
      <c r="AH71" s="8">
        <f t="shared" si="37"/>
        <v>-48900.458333333328</v>
      </c>
      <c r="AI71" s="8">
        <f t="shared" si="37"/>
        <v>-67725.268282312929</v>
      </c>
      <c r="AJ71" s="8">
        <f t="shared" si="37"/>
        <v>-71956.488095238092</v>
      </c>
      <c r="AK71" s="8">
        <f t="shared" si="37"/>
        <v>-75704.490646258506</v>
      </c>
      <c r="AL71" s="8">
        <f t="shared" si="37"/>
        <v>-76660.666666666657</v>
      </c>
      <c r="AM71" s="8">
        <f t="shared" si="37"/>
        <v>-66495.666666666672</v>
      </c>
      <c r="AN71" s="8">
        <f t="shared" si="37"/>
        <v>-66495.666666666672</v>
      </c>
      <c r="AO71" s="8">
        <f t="shared" si="37"/>
        <v>-84178.235544217678</v>
      </c>
      <c r="AP71" s="8">
        <f t="shared" si="37"/>
        <v>-87926.238095238092</v>
      </c>
      <c r="AQ71" s="8">
        <f t="shared" si="37"/>
        <v>-91674.240646258491</v>
      </c>
      <c r="AR71" s="8">
        <f t="shared" si="37"/>
        <v>-92630.416666666672</v>
      </c>
      <c r="AS71" s="8">
        <f t="shared" si="37"/>
        <v>-82465.416666666672</v>
      </c>
      <c r="AT71" s="8">
        <f t="shared" si="37"/>
        <v>-82465.416666666672</v>
      </c>
      <c r="AU71" s="8">
        <f t="shared" si="37"/>
        <v>-82465.416666666672</v>
      </c>
      <c r="AV71" s="8">
        <f t="shared" si="37"/>
        <v>-85043.750000000015</v>
      </c>
      <c r="AW71" s="8">
        <f t="shared" si="37"/>
        <v>-85135.625000000015</v>
      </c>
      <c r="AX71" s="8">
        <f t="shared" si="37"/>
        <v>-85135.625000000015</v>
      </c>
      <c r="AY71" s="8">
        <f t="shared" si="37"/>
        <v>-85135.625000000015</v>
      </c>
      <c r="AZ71" s="8">
        <f t="shared" si="37"/>
        <v>-85135.625000000015</v>
      </c>
      <c r="BA71" s="8">
        <f t="shared" si="37"/>
        <v>0</v>
      </c>
      <c r="BB71" s="8">
        <f t="shared" si="37"/>
        <v>0</v>
      </c>
      <c r="BC71" s="8">
        <f t="shared" si="37"/>
        <v>0</v>
      </c>
    </row>
    <row r="73" spans="2:55" ht="15.75" x14ac:dyDescent="0.25">
      <c r="B73" s="44" t="s">
        <v>153</v>
      </c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M73" s="44"/>
      <c r="AN73" s="44"/>
      <c r="AO73" s="44"/>
      <c r="AP73" s="44"/>
      <c r="AQ73" s="44"/>
      <c r="AR73" s="44"/>
      <c r="AS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</row>
    <row r="75" spans="2:55" x14ac:dyDescent="0.25">
      <c r="B75" s="8" t="s">
        <v>92</v>
      </c>
      <c r="C75" s="8"/>
      <c r="D75" s="8"/>
      <c r="E75" s="8">
        <f>E44+E56+E71</f>
        <v>2217300</v>
      </c>
      <c r="H75" s="8" t="str">
        <f>B75</f>
        <v>Total Management Cost</v>
      </c>
      <c r="I75" s="8">
        <f t="shared" ref="I75" si="38">SUM(K75:BC75)</f>
        <v>-4713523.6858333331</v>
      </c>
      <c r="J75" s="8"/>
      <c r="K75" s="8">
        <f>K71+K56+K44</f>
        <v>0</v>
      </c>
      <c r="L75" s="8">
        <f t="shared" ref="L75:BC75" si="39">L71+L56+L44</f>
        <v>0</v>
      </c>
      <c r="M75" s="8">
        <f t="shared" si="39"/>
        <v>0</v>
      </c>
      <c r="N75" s="8">
        <f t="shared" si="39"/>
        <v>0</v>
      </c>
      <c r="O75" s="8">
        <f t="shared" si="39"/>
        <v>0</v>
      </c>
      <c r="P75" s="8">
        <f t="shared" si="39"/>
        <v>0</v>
      </c>
      <c r="Q75" s="8">
        <f t="shared" si="39"/>
        <v>0</v>
      </c>
      <c r="R75" s="8">
        <f t="shared" si="39"/>
        <v>0</v>
      </c>
      <c r="S75" s="8">
        <f t="shared" si="39"/>
        <v>-87981.938775510192</v>
      </c>
      <c r="T75" s="8">
        <f t="shared" si="39"/>
        <v>-36162.380952380954</v>
      </c>
      <c r="U75" s="8">
        <f t="shared" si="39"/>
        <v>-40542.823129251701</v>
      </c>
      <c r="V75" s="8">
        <f t="shared" si="39"/>
        <v>-43746.666666666672</v>
      </c>
      <c r="W75" s="8">
        <f t="shared" si="39"/>
        <v>-58873</v>
      </c>
      <c r="X75" s="8">
        <f t="shared" si="39"/>
        <v>-121374.88996598637</v>
      </c>
      <c r="Y75" s="8">
        <f t="shared" si="39"/>
        <v>-65154.14761904761</v>
      </c>
      <c r="Z75" s="8">
        <f t="shared" si="39"/>
        <v>-74862.905272108837</v>
      </c>
      <c r="AA75" s="8">
        <f t="shared" si="39"/>
        <v>-75591.383333333331</v>
      </c>
      <c r="AB75" s="8">
        <f t="shared" si="39"/>
        <v>-63399.083333333328</v>
      </c>
      <c r="AC75" s="8">
        <f t="shared" si="39"/>
        <v>-177592.63996598637</v>
      </c>
      <c r="AD75" s="8">
        <f t="shared" si="39"/>
        <v>-95496.897619047595</v>
      </c>
      <c r="AE75" s="8">
        <f t="shared" si="39"/>
        <v>-164718.15527210879</v>
      </c>
      <c r="AF75" s="8">
        <f t="shared" si="39"/>
        <v>-109259.58833333332</v>
      </c>
      <c r="AG75" s="8">
        <f t="shared" si="39"/>
        <v>-94479.78833333333</v>
      </c>
      <c r="AH75" s="8">
        <f t="shared" si="39"/>
        <v>-94479.78833333333</v>
      </c>
      <c r="AI75" s="8">
        <f t="shared" si="39"/>
        <v>-215304.16664965986</v>
      </c>
      <c r="AJ75" s="8">
        <f t="shared" si="39"/>
        <v>-195175.14047619049</v>
      </c>
      <c r="AK75" s="8">
        <f t="shared" si="39"/>
        <v>-138396.89704081631</v>
      </c>
      <c r="AL75" s="8">
        <f t="shared" si="39"/>
        <v>-144549.31333333332</v>
      </c>
      <c r="AM75" s="8">
        <f t="shared" si="39"/>
        <v>-129269.71333333335</v>
      </c>
      <c r="AN75" s="8">
        <f t="shared" si="39"/>
        <v>-129269.71333333335</v>
      </c>
      <c r="AO75" s="8">
        <f t="shared" si="39"/>
        <v>-311610.52057823131</v>
      </c>
      <c r="AP75" s="8">
        <f t="shared" si="39"/>
        <v>-162598.27714285714</v>
      </c>
      <c r="AQ75" s="8">
        <f t="shared" si="39"/>
        <v>-234220.03370748297</v>
      </c>
      <c r="AR75" s="8">
        <f t="shared" si="39"/>
        <v>-176172.45</v>
      </c>
      <c r="AS75" s="8">
        <f t="shared" si="39"/>
        <v>-160892.85000000003</v>
      </c>
      <c r="AT75" s="8">
        <f t="shared" si="39"/>
        <v>-160892.85000000003</v>
      </c>
      <c r="AU75" s="8">
        <f t="shared" si="39"/>
        <v>-251842.85000000003</v>
      </c>
      <c r="AV75" s="8">
        <f t="shared" si="39"/>
        <v>-232336.56666666665</v>
      </c>
      <c r="AW75" s="8">
        <f t="shared" si="39"/>
        <v>-166128.44166666668</v>
      </c>
      <c r="AX75" s="8">
        <f t="shared" si="39"/>
        <v>-168890.94166666668</v>
      </c>
      <c r="AY75" s="8">
        <f t="shared" si="39"/>
        <v>-166128.44166666668</v>
      </c>
      <c r="AZ75" s="8">
        <f t="shared" si="39"/>
        <v>-166128.44166666668</v>
      </c>
      <c r="BA75" s="8">
        <f t="shared" si="39"/>
        <v>0</v>
      </c>
      <c r="BB75" s="8">
        <f t="shared" si="39"/>
        <v>0</v>
      </c>
      <c r="BC75" s="8">
        <f t="shared" si="39"/>
        <v>0</v>
      </c>
    </row>
    <row r="76" spans="2:55" x14ac:dyDescent="0.25">
      <c r="I76" s="62"/>
    </row>
    <row r="77" spans="2:55" ht="15.75" x14ac:dyDescent="0.25">
      <c r="B77" s="44" t="s">
        <v>134</v>
      </c>
      <c r="C77" s="44"/>
      <c r="D77" s="44"/>
      <c r="E77" s="44">
        <f>E32-E75</f>
        <v>9521700</v>
      </c>
      <c r="F77" s="44"/>
      <c r="G77" s="44"/>
      <c r="H77" s="44" t="str">
        <f>B77</f>
        <v>Cash Flow before Finance</v>
      </c>
      <c r="I77" s="39">
        <f>SUM(K77:BC77)</f>
        <v>16638117.972286317</v>
      </c>
      <c r="J77" s="40"/>
      <c r="K77" s="39">
        <f t="shared" ref="K77:BC77" si="40">K32+K75</f>
        <v>0</v>
      </c>
      <c r="L77" s="39">
        <f t="shared" si="40"/>
        <v>0</v>
      </c>
      <c r="M77" s="39">
        <f t="shared" si="40"/>
        <v>0</v>
      </c>
      <c r="N77" s="39">
        <f t="shared" si="40"/>
        <v>0</v>
      </c>
      <c r="O77" s="39">
        <f t="shared" si="40"/>
        <v>0</v>
      </c>
      <c r="P77" s="39">
        <f t="shared" si="40"/>
        <v>0</v>
      </c>
      <c r="Q77" s="39">
        <f t="shared" si="40"/>
        <v>0</v>
      </c>
      <c r="R77" s="39">
        <f t="shared" si="40"/>
        <v>0</v>
      </c>
      <c r="S77" s="39">
        <f t="shared" si="40"/>
        <v>-48820.827664399083</v>
      </c>
      <c r="T77" s="39">
        <f t="shared" si="40"/>
        <v>33409.841269841265</v>
      </c>
      <c r="U77" s="39">
        <f t="shared" si="40"/>
        <v>59440.510204081642</v>
      </c>
      <c r="V77" s="39">
        <f t="shared" si="40"/>
        <v>81358.888888888876</v>
      </c>
      <c r="W77" s="39">
        <f t="shared" si="40"/>
        <v>66232.555555555547</v>
      </c>
      <c r="X77" s="39">
        <f t="shared" si="40"/>
        <v>62663.832256235852</v>
      </c>
      <c r="Y77" s="39">
        <f t="shared" si="40"/>
        <v>164685.24126984127</v>
      </c>
      <c r="Z77" s="39">
        <f t="shared" si="40"/>
        <v>200777.15028344671</v>
      </c>
      <c r="AA77" s="39">
        <f t="shared" si="40"/>
        <v>237884.00555555554</v>
      </c>
      <c r="AB77" s="39">
        <f t="shared" si="40"/>
        <v>250076.30555555556</v>
      </c>
      <c r="AC77" s="39">
        <f t="shared" si="40"/>
        <v>223776.08225623582</v>
      </c>
      <c r="AD77" s="39">
        <f t="shared" si="40"/>
        <v>369045.15793650789</v>
      </c>
      <c r="AE77" s="39">
        <f t="shared" si="40"/>
        <v>362507.59259113908</v>
      </c>
      <c r="AF77" s="39">
        <f t="shared" si="40"/>
        <v>474395.63388888881</v>
      </c>
      <c r="AG77" s="39">
        <f t="shared" si="40"/>
        <v>489175.4338888888</v>
      </c>
      <c r="AH77" s="39">
        <f t="shared" si="40"/>
        <v>489175.4338888888</v>
      </c>
      <c r="AI77" s="39">
        <f t="shared" si="40"/>
        <v>431532.94446145114</v>
      </c>
      <c r="AJ77" s="39">
        <f t="shared" si="40"/>
        <v>504670.8979853479</v>
      </c>
      <c r="AK77" s="39">
        <f t="shared" si="40"/>
        <v>621740.4918480725</v>
      </c>
      <c r="AL77" s="39">
        <f t="shared" si="40"/>
        <v>660119.85333333316</v>
      </c>
      <c r="AM77" s="39">
        <f t="shared" si="40"/>
        <v>675399.45333333313</v>
      </c>
      <c r="AN77" s="39">
        <f t="shared" si="40"/>
        <v>675399.45333333313</v>
      </c>
      <c r="AO77" s="39">
        <f t="shared" si="40"/>
        <v>553492.49224228144</v>
      </c>
      <c r="AP77" s="39">
        <f t="shared" si="40"/>
        <v>760070.88952380931</v>
      </c>
      <c r="AQ77" s="39">
        <f t="shared" si="40"/>
        <v>736595.91501046577</v>
      </c>
      <c r="AR77" s="39">
        <f t="shared" si="40"/>
        <v>839289.8833333333</v>
      </c>
      <c r="AS77" s="39">
        <f t="shared" si="40"/>
        <v>854569.48333333316</v>
      </c>
      <c r="AT77" s="39">
        <f t="shared" si="40"/>
        <v>854569.48333333316</v>
      </c>
      <c r="AU77" s="39">
        <f t="shared" si="40"/>
        <v>756317.71410256415</v>
      </c>
      <c r="AV77" s="39">
        <f t="shared" si="40"/>
        <v>782047.11282051285</v>
      </c>
      <c r="AW77" s="39">
        <f t="shared" si="40"/>
        <v>854820.3916666666</v>
      </c>
      <c r="AX77" s="39">
        <f t="shared" si="40"/>
        <v>852057.8916666666</v>
      </c>
      <c r="AY77" s="39">
        <f t="shared" si="40"/>
        <v>854820.3916666666</v>
      </c>
      <c r="AZ77" s="39">
        <f t="shared" si="40"/>
        <v>854820.3916666666</v>
      </c>
      <c r="BA77" s="39">
        <f t="shared" si="40"/>
        <v>0</v>
      </c>
      <c r="BB77" s="39">
        <f t="shared" si="40"/>
        <v>0</v>
      </c>
      <c r="BC77" s="39">
        <f t="shared" si="40"/>
        <v>0</v>
      </c>
    </row>
    <row r="78" spans="2:55" x14ac:dyDescent="0.25">
      <c r="I78" s="62"/>
    </row>
    <row r="79" spans="2:55" s="15" customFormat="1" ht="19.5" thickBot="1" x14ac:dyDescent="0.35">
      <c r="B79" s="16" t="s">
        <v>154</v>
      </c>
      <c r="F79" s="32"/>
      <c r="I79" s="38"/>
    </row>
    <row r="81" spans="2:55" ht="15.75" x14ac:dyDescent="0.25">
      <c r="B81" s="44" t="s">
        <v>132</v>
      </c>
      <c r="C81" s="44"/>
      <c r="D81" s="44"/>
      <c r="E81" s="44"/>
      <c r="F81" s="34"/>
      <c r="G81" s="22"/>
      <c r="H81" s="44"/>
      <c r="I81" s="39"/>
      <c r="J81" s="40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</row>
    <row r="82" spans="2:55" x14ac:dyDescent="0.25">
      <c r="H82" s="10"/>
      <c r="I82" s="61"/>
    </row>
    <row r="83" spans="2:55" x14ac:dyDescent="0.25">
      <c r="B83" s="5" t="s">
        <v>135</v>
      </c>
      <c r="C83" s="7">
        <v>0.65</v>
      </c>
      <c r="D83" s="5">
        <f>C83*'Accom_Phase Schedule'!M70</f>
        <v>95379375</v>
      </c>
      <c r="E83" s="5"/>
      <c r="I83" s="35"/>
    </row>
    <row r="84" spans="2:55" x14ac:dyDescent="0.25">
      <c r="B84" s="5" t="s">
        <v>136</v>
      </c>
      <c r="C84" s="7">
        <v>2.5000000000000001E-2</v>
      </c>
      <c r="D84" s="5"/>
      <c r="E84" s="5"/>
      <c r="H84" s="45" t="s">
        <v>148</v>
      </c>
      <c r="I84" s="60">
        <f>SUM(J84:BC84)</f>
        <v>95379375</v>
      </c>
      <c r="J84" s="45"/>
      <c r="K84" s="45">
        <f>SUMIF('Accom_Phase Schedule'!$E$65:$E$69,K5,'Accom_Phase Schedule'!$N$65:$N$69)</f>
        <v>0</v>
      </c>
      <c r="L84" s="45">
        <f>SUMIF('Accom_Phase Schedule'!$E$65:$E$69,L5,'Accom_Phase Schedule'!$N$65:$N$69)</f>
        <v>0</v>
      </c>
      <c r="M84" s="45">
        <f>SUMIF('Accom_Phase Schedule'!$E$65:$E$69,M5,'Accom_Phase Schedule'!$N$65:$N$69)</f>
        <v>0</v>
      </c>
      <c r="N84" s="45">
        <f>SUMIF('Accom_Phase Schedule'!$E$65:$E$69,N5,'Accom_Phase Schedule'!$N$65:$N$69)</f>
        <v>0</v>
      </c>
      <c r="O84" s="45">
        <f>SUMIF('Accom_Phase Schedule'!$E$65:$E$69,O5,'Accom_Phase Schedule'!$N$65:$N$69)</f>
        <v>0</v>
      </c>
      <c r="P84" s="45">
        <f>SUMIF('Accom_Phase Schedule'!$E$65:$E$69,P5,'Accom_Phase Schedule'!$N$65:$N$69)</f>
        <v>0</v>
      </c>
      <c r="Q84" s="45">
        <f>SUMIF('Accom_Phase Schedule'!$E$65:$E$69,Q5,'Accom_Phase Schedule'!$N$65:$N$69)</f>
        <v>0</v>
      </c>
      <c r="R84" s="45">
        <f>SUMIF('Accom_Phase Schedule'!$E$65:$E$69,R5,'Accom_Phase Schedule'!$N$65:$N$69)</f>
        <v>0</v>
      </c>
      <c r="S84" s="45">
        <f>SUMIF('Accom_Phase Schedule'!$E$65:$E$69,S5,'Accom_Phase Schedule'!$N$65:$N$69)</f>
        <v>12455625</v>
      </c>
      <c r="T84" s="45">
        <f>SUMIF('Accom_Phase Schedule'!$E$65:$E$69,T5,'Accom_Phase Schedule'!$N$65:$N$69)</f>
        <v>0</v>
      </c>
      <c r="U84" s="45">
        <f>SUMIF('Accom_Phase Schedule'!$E$65:$E$69,U5,'Accom_Phase Schedule'!$N$65:$N$69)</f>
        <v>0</v>
      </c>
      <c r="V84" s="45">
        <f>SUMIF('Accom_Phase Schedule'!$E$65:$E$69,V5,'Accom_Phase Schedule'!$N$65:$N$69)</f>
        <v>0</v>
      </c>
      <c r="W84" s="45">
        <f>SUMIF('Accom_Phase Schedule'!$E$65:$E$69,W5,'Accom_Phase Schedule'!$N$65:$N$69)</f>
        <v>0</v>
      </c>
      <c r="X84" s="45">
        <f>SUMIF('Accom_Phase Schedule'!$E$65:$E$69,X5,'Accom_Phase Schedule'!$N$65:$N$69)</f>
        <v>18208125</v>
      </c>
      <c r="Y84" s="45">
        <f>SUMIF('Accom_Phase Schedule'!$E$65:$E$69,Y5,'Accom_Phase Schedule'!$N$65:$N$69)</f>
        <v>0</v>
      </c>
      <c r="Z84" s="45">
        <f>SUMIF('Accom_Phase Schedule'!$E$65:$E$69,Z5,'Accom_Phase Schedule'!$N$65:$N$69)</f>
        <v>0</v>
      </c>
      <c r="AA84" s="45">
        <f>SUMIF('Accom_Phase Schedule'!$E$65:$E$69,AA5,'Accom_Phase Schedule'!$N$65:$N$69)</f>
        <v>0</v>
      </c>
      <c r="AB84" s="45">
        <f>SUMIF('Accom_Phase Schedule'!$E$65:$E$69,AB5,'Accom_Phase Schedule'!$N$65:$N$69)</f>
        <v>0</v>
      </c>
      <c r="AC84" s="45">
        <f>SUMIF('Accom_Phase Schedule'!$E$65:$E$69,AC5,'Accom_Phase Schedule'!$N$65:$N$69)</f>
        <v>25740000</v>
      </c>
      <c r="AD84" s="45">
        <f>SUMIF('Accom_Phase Schedule'!$E$65:$E$69,AD5,'Accom_Phase Schedule'!$N$65:$N$69)</f>
        <v>0</v>
      </c>
      <c r="AE84" s="45">
        <f>SUMIF('Accom_Phase Schedule'!$E$65:$E$69,AE5,'Accom_Phase Schedule'!$N$65:$N$69)</f>
        <v>0</v>
      </c>
      <c r="AF84" s="45">
        <f>SUMIF('Accom_Phase Schedule'!$E$65:$E$69,AF5,'Accom_Phase Schedule'!$N$65:$N$69)</f>
        <v>0</v>
      </c>
      <c r="AG84" s="45">
        <f>SUMIF('Accom_Phase Schedule'!$E$65:$E$69,AG5,'Accom_Phase Schedule'!$N$65:$N$69)</f>
        <v>0</v>
      </c>
      <c r="AH84" s="45">
        <f>SUMIF('Accom_Phase Schedule'!$E$65:$E$69,AH5,'Accom_Phase Schedule'!$N$65:$N$69)</f>
        <v>0</v>
      </c>
      <c r="AI84" s="45">
        <f>SUMIF('Accom_Phase Schedule'!$E$65:$E$69,AI5,'Accom_Phase Schedule'!$N$65:$N$69)</f>
        <v>20255625</v>
      </c>
      <c r="AJ84" s="45">
        <f>SUMIF('Accom_Phase Schedule'!$E$65:$E$69,AJ5,'Accom_Phase Schedule'!$N$65:$N$69)</f>
        <v>0</v>
      </c>
      <c r="AK84" s="45">
        <f>SUMIF('Accom_Phase Schedule'!$E$65:$E$69,AK5,'Accom_Phase Schedule'!$N$65:$N$69)</f>
        <v>0</v>
      </c>
      <c r="AL84" s="45">
        <f>SUMIF('Accom_Phase Schedule'!$E$65:$E$69,AL5,'Accom_Phase Schedule'!$N$65:$N$69)</f>
        <v>0</v>
      </c>
      <c r="AM84" s="45">
        <f>SUMIF('Accom_Phase Schedule'!$E$65:$E$69,AM5,'Accom_Phase Schedule'!$N$65:$N$69)</f>
        <v>0</v>
      </c>
      <c r="AN84" s="45">
        <f>SUMIF('Accom_Phase Schedule'!$E$65:$E$69,AN5,'Accom_Phase Schedule'!$N$65:$N$69)</f>
        <v>0</v>
      </c>
      <c r="AO84" s="45">
        <f>SUMIF('Accom_Phase Schedule'!$E$65:$E$69,AO5,'Accom_Phase Schedule'!$N$65:$N$69)</f>
        <v>18720000</v>
      </c>
      <c r="AP84" s="45">
        <f>SUMIF('Accom_Phase Schedule'!$E$65:$E$69,AP5,'Accom_Phase Schedule'!$N$65:$N$69)</f>
        <v>0</v>
      </c>
      <c r="AQ84" s="45">
        <f>SUMIF('Accom_Phase Schedule'!$E$65:$E$69,AQ5,'Accom_Phase Schedule'!$N$65:$N$69)</f>
        <v>0</v>
      </c>
      <c r="AR84" s="45">
        <f>SUMIF('Accom_Phase Schedule'!$E$65:$E$69,AR5,'Accom_Phase Schedule'!$N$65:$N$69)</f>
        <v>0</v>
      </c>
      <c r="AS84" s="45">
        <f>SUMIF('Accom_Phase Schedule'!$E$65:$E$69,AS5,'Accom_Phase Schedule'!$N$65:$N$69)</f>
        <v>0</v>
      </c>
      <c r="AT84" s="45">
        <f>SUMIF('Accom_Phase Schedule'!$E$65:$E$69,AT5,'Accom_Phase Schedule'!$N$65:$N$69)</f>
        <v>0</v>
      </c>
      <c r="AU84" s="45">
        <f>SUMIF('Accom_Phase Schedule'!$E$65:$E$69,AU5,'Accom_Phase Schedule'!$N$65:$N$69)</f>
        <v>0</v>
      </c>
      <c r="AV84" s="45">
        <f>SUMIF('Accom_Phase Schedule'!$E$65:$E$69,AV5,'Accom_Phase Schedule'!$N$65:$N$69)</f>
        <v>0</v>
      </c>
      <c r="AW84" s="45">
        <f>SUMIF('Accom_Phase Schedule'!$E$65:$E$69,AW5,'Accom_Phase Schedule'!$N$65:$N$69)</f>
        <v>0</v>
      </c>
      <c r="AX84" s="45">
        <f>SUMIF('Accom_Phase Schedule'!$E$65:$E$69,AX5,'Accom_Phase Schedule'!$N$65:$N$69)</f>
        <v>0</v>
      </c>
      <c r="AY84" s="45">
        <f>SUMIF('Accom_Phase Schedule'!$E$65:$E$69,AY5,'Accom_Phase Schedule'!$N$65:$N$69)</f>
        <v>0</v>
      </c>
      <c r="AZ84" s="45">
        <f>SUMIF('Accom_Phase Schedule'!$E$65:$E$69,AZ5,'Accom_Phase Schedule'!$N$65:$N$69)</f>
        <v>0</v>
      </c>
      <c r="BA84" s="45">
        <f>SUMIF('Accom_Phase Schedule'!$E$65:$E$69,BA5,'Accom_Phase Schedule'!$N$65:$N$69)</f>
        <v>0</v>
      </c>
      <c r="BB84" s="45">
        <f>SUMIF('Accom_Phase Schedule'!$E$65:$E$69,BB5,'Accom_Phase Schedule'!$N$65:$N$69)</f>
        <v>0</v>
      </c>
      <c r="BC84" s="45">
        <f>SUMIF('Accom_Phase Schedule'!$E$65:$E$69,BC5,'Accom_Phase Schedule'!$N$65:$N$69)</f>
        <v>0</v>
      </c>
    </row>
    <row r="85" spans="2:55" x14ac:dyDescent="0.25">
      <c r="B85" s="5" t="s">
        <v>137</v>
      </c>
      <c r="C85" s="7">
        <v>0.08</v>
      </c>
      <c r="D85" s="5"/>
      <c r="E85" s="5"/>
      <c r="H85" s="10" t="s">
        <v>149</v>
      </c>
      <c r="I85" s="61"/>
      <c r="K85" s="1">
        <f>K84+J89</f>
        <v>0</v>
      </c>
      <c r="L85" s="1">
        <f>L84+K89</f>
        <v>0</v>
      </c>
      <c r="M85" s="1">
        <f t="shared" ref="M85:BC85" si="41">M84+L89</f>
        <v>0</v>
      </c>
      <c r="N85" s="1">
        <f t="shared" si="41"/>
        <v>0</v>
      </c>
      <c r="O85" s="1">
        <f t="shared" si="41"/>
        <v>0</v>
      </c>
      <c r="P85" s="1">
        <f t="shared" si="41"/>
        <v>0</v>
      </c>
      <c r="Q85" s="1">
        <f t="shared" si="41"/>
        <v>0</v>
      </c>
      <c r="R85" s="1">
        <f t="shared" si="41"/>
        <v>0</v>
      </c>
      <c r="S85" s="1">
        <f t="shared" si="41"/>
        <v>12455625</v>
      </c>
      <c r="T85" s="1">
        <f t="shared" si="41"/>
        <v>12432066.770685194</v>
      </c>
      <c r="U85" s="1">
        <f t="shared" si="41"/>
        <v>12408553.098762605</v>
      </c>
      <c r="V85" s="1">
        <f t="shared" si="41"/>
        <v>12385083.899957599</v>
      </c>
      <c r="W85" s="1">
        <f t="shared" si="41"/>
        <v>12361659.090154935</v>
      </c>
      <c r="X85" s="1">
        <f t="shared" si="41"/>
        <v>30546403.585398465</v>
      </c>
      <c r="Y85" s="1">
        <f t="shared" si="41"/>
        <v>30488628.951013803</v>
      </c>
      <c r="Z85" s="1">
        <f t="shared" si="41"/>
        <v>30430963.589996431</v>
      </c>
      <c r="AA85" s="1">
        <f t="shared" si="41"/>
        <v>30373407.295669679</v>
      </c>
      <c r="AB85" s="1">
        <f t="shared" si="41"/>
        <v>30315959.861747783</v>
      </c>
      <c r="AC85" s="1">
        <f t="shared" si="41"/>
        <v>55998621.082335144</v>
      </c>
      <c r="AD85" s="1">
        <f t="shared" si="41"/>
        <v>55892706.818155661</v>
      </c>
      <c r="AE85" s="1">
        <f t="shared" si="41"/>
        <v>55786992.87732593</v>
      </c>
      <c r="AF85" s="1">
        <f t="shared" si="41"/>
        <v>55681478.880959831</v>
      </c>
      <c r="AG85" s="1">
        <f t="shared" si="41"/>
        <v>55576164.450887859</v>
      </c>
      <c r="AH85" s="1">
        <f t="shared" si="41"/>
        <v>55471049.209655777</v>
      </c>
      <c r="AI85" s="1">
        <f t="shared" si="41"/>
        <v>75621757.780523241</v>
      </c>
      <c r="AJ85" s="1">
        <f t="shared" si="41"/>
        <v>75478728.850944653</v>
      </c>
      <c r="AK85" s="1">
        <f t="shared" si="41"/>
        <v>75335970.442381397</v>
      </c>
      <c r="AL85" s="1">
        <f t="shared" si="41"/>
        <v>75193482.043177411</v>
      </c>
      <c r="AM85" s="1">
        <f t="shared" si="41"/>
        <v>75051263.142644361</v>
      </c>
      <c r="AN85" s="1">
        <f t="shared" si="41"/>
        <v>74909313.231059819</v>
      </c>
      <c r="AO85" s="1">
        <f t="shared" si="41"/>
        <v>93487631.799665406</v>
      </c>
      <c r="AP85" s="1">
        <f t="shared" si="41"/>
        <v>93310811.843377814</v>
      </c>
      <c r="AQ85" s="1">
        <f t="shared" si="41"/>
        <v>93134326.319531605</v>
      </c>
      <c r="AR85" s="1">
        <f t="shared" si="41"/>
        <v>92958174.595590368</v>
      </c>
      <c r="AS85" s="1">
        <f t="shared" si="41"/>
        <v>92782356.040214092</v>
      </c>
      <c r="AT85" s="1">
        <f t="shared" si="41"/>
        <v>92606870.023256823</v>
      </c>
      <c r="AU85" s="1">
        <f t="shared" si="41"/>
        <v>92431715.915764481</v>
      </c>
      <c r="AV85" s="1">
        <f t="shared" si="41"/>
        <v>92256893.089972556</v>
      </c>
      <c r="AW85" s="1">
        <f t="shared" si="41"/>
        <v>92082400.919303864</v>
      </c>
      <c r="AX85" s="1">
        <f t="shared" si="41"/>
        <v>91908238.778366342</v>
      </c>
      <c r="AY85" s="1">
        <f t="shared" si="41"/>
        <v>91734406.042950764</v>
      </c>
      <c r="AZ85" s="1">
        <f t="shared" si="41"/>
        <v>91560902.090028495</v>
      </c>
      <c r="BA85" s="1">
        <f t="shared" si="41"/>
        <v>91387726.297749311</v>
      </c>
      <c r="BB85" s="1">
        <f t="shared" si="41"/>
        <v>0</v>
      </c>
      <c r="BC85" s="1">
        <f t="shared" si="41"/>
        <v>0</v>
      </c>
    </row>
    <row r="86" spans="2:55" x14ac:dyDescent="0.25">
      <c r="B86" s="5" t="s">
        <v>147</v>
      </c>
      <c r="C86" s="56">
        <v>30</v>
      </c>
      <c r="D86" s="5"/>
      <c r="E86" s="5"/>
      <c r="H86" s="45" t="s">
        <v>150</v>
      </c>
      <c r="I86" s="60">
        <f>SUM(J86:BC86)</f>
        <v>99914801.460104316</v>
      </c>
      <c r="J86" s="45"/>
      <c r="K86" s="45">
        <f t="shared" ref="K86:BC86" si="42">IF(K5=$C$99,K85+K85*((1+$C$84)^(1/12)-1),(K85&gt;0)*-PMT($C$84/12,$C$86*12,K85))</f>
        <v>0</v>
      </c>
      <c r="L86" s="45">
        <f t="shared" si="42"/>
        <v>0</v>
      </c>
      <c r="M86" s="45">
        <f t="shared" si="42"/>
        <v>0</v>
      </c>
      <c r="N86" s="45">
        <f t="shared" si="42"/>
        <v>0</v>
      </c>
      <c r="O86" s="45">
        <f t="shared" si="42"/>
        <v>0</v>
      </c>
      <c r="P86" s="45">
        <f t="shared" si="42"/>
        <v>0</v>
      </c>
      <c r="Q86" s="45">
        <f t="shared" si="42"/>
        <v>0</v>
      </c>
      <c r="R86" s="45">
        <f t="shared" si="42"/>
        <v>0</v>
      </c>
      <c r="S86" s="45">
        <f t="shared" si="42"/>
        <v>49214.777453366129</v>
      </c>
      <c r="T86" s="45">
        <f t="shared" si="42"/>
        <v>49121.693965951927</v>
      </c>
      <c r="U86" s="45">
        <f t="shared" si="42"/>
        <v>49028.786534106344</v>
      </c>
      <c r="V86" s="45">
        <f t="shared" si="42"/>
        <v>48936.054824842686</v>
      </c>
      <c r="W86" s="45">
        <f t="shared" si="42"/>
        <v>48843.498505804047</v>
      </c>
      <c r="X86" s="45">
        <f t="shared" si="42"/>
        <v>120695.22440311834</v>
      </c>
      <c r="Y86" s="45">
        <f t="shared" si="42"/>
        <v>120466.94474844899</v>
      </c>
      <c r="Z86" s="45">
        <f t="shared" si="42"/>
        <v>120239.09685569067</v>
      </c>
      <c r="AA86" s="45">
        <f t="shared" si="42"/>
        <v>120011.67990822063</v>
      </c>
      <c r="AB86" s="45">
        <f t="shared" si="42"/>
        <v>119784.6930909607</v>
      </c>
      <c r="AC86" s="45">
        <f t="shared" si="42"/>
        <v>221262.25494605859</v>
      </c>
      <c r="AD86" s="45">
        <f t="shared" si="42"/>
        <v>220843.76555345641</v>
      </c>
      <c r="AE86" s="45">
        <f t="shared" si="42"/>
        <v>220426.06768027434</v>
      </c>
      <c r="AF86" s="45">
        <f t="shared" si="42"/>
        <v>220009.15982945412</v>
      </c>
      <c r="AG86" s="45">
        <f t="shared" si="42"/>
        <v>219593.04050676897</v>
      </c>
      <c r="AH86" s="45">
        <f t="shared" si="42"/>
        <v>219177.70822081831</v>
      </c>
      <c r="AI86" s="45">
        <f t="shared" si="42"/>
        <v>298797.36904417165</v>
      </c>
      <c r="AJ86" s="45">
        <f t="shared" si="42"/>
        <v>298232.23185205128</v>
      </c>
      <c r="AK86" s="45">
        <f t="shared" si="42"/>
        <v>297668.16354499833</v>
      </c>
      <c r="AL86" s="45">
        <f t="shared" si="42"/>
        <v>297105.16210135253</v>
      </c>
      <c r="AM86" s="45">
        <f t="shared" si="42"/>
        <v>296543.22550327767</v>
      </c>
      <c r="AN86" s="45">
        <f t="shared" si="42"/>
        <v>295982.35173675383</v>
      </c>
      <c r="AO86" s="45">
        <f t="shared" si="42"/>
        <v>369389.17105024977</v>
      </c>
      <c r="AP86" s="45">
        <f t="shared" si="42"/>
        <v>368690.51844967715</v>
      </c>
      <c r="AQ86" s="45">
        <f t="shared" si="42"/>
        <v>367993.18726157286</v>
      </c>
      <c r="AR86" s="45">
        <f t="shared" si="42"/>
        <v>367297.17498665326</v>
      </c>
      <c r="AS86" s="45">
        <f t="shared" si="42"/>
        <v>366602.47913036222</v>
      </c>
      <c r="AT86" s="45">
        <f t="shared" si="42"/>
        <v>365909.09720286116</v>
      </c>
      <c r="AU86" s="45">
        <f t="shared" si="42"/>
        <v>365217.02671902132</v>
      </c>
      <c r="AV86" s="45">
        <f t="shared" si="42"/>
        <v>364526.26519841363</v>
      </c>
      <c r="AW86" s="45">
        <f t="shared" si="42"/>
        <v>363836.81016530097</v>
      </c>
      <c r="AX86" s="45">
        <f t="shared" si="42"/>
        <v>363148.65914862836</v>
      </c>
      <c r="AY86" s="45">
        <f t="shared" si="42"/>
        <v>362461.80968201498</v>
      </c>
      <c r="AZ86" s="45">
        <f t="shared" si="42"/>
        <v>361776.25930374418</v>
      </c>
      <c r="BA86" s="45">
        <f t="shared" si="42"/>
        <v>91575970.050995871</v>
      </c>
      <c r="BB86" s="45">
        <f t="shared" si="42"/>
        <v>0</v>
      </c>
      <c r="BC86" s="45">
        <f t="shared" si="42"/>
        <v>0</v>
      </c>
    </row>
    <row r="87" spans="2:55" x14ac:dyDescent="0.25">
      <c r="B87" s="5" t="s">
        <v>143</v>
      </c>
      <c r="C87" s="5">
        <f>D83*C84</f>
        <v>2384484.375</v>
      </c>
      <c r="D87" s="5"/>
      <c r="E87" s="5"/>
      <c r="H87" s="10" t="s">
        <v>136</v>
      </c>
      <c r="I87" s="61">
        <f t="shared" ref="I87:I88" si="43">SUM(J87:BC87)</f>
        <v>4535426.4601043351</v>
      </c>
      <c r="K87" s="1">
        <f>K85*((1+$C$84)^(1/12)-1)</f>
        <v>0</v>
      </c>
      <c r="L87" s="1">
        <f>L85*((1+$C$84)^(1/12)-1)</f>
        <v>0</v>
      </c>
      <c r="M87" s="1">
        <f t="shared" ref="M87:BC87" si="44">M85*((1+$C$84)^(1/12)-1)</f>
        <v>0</v>
      </c>
      <c r="N87" s="1">
        <f t="shared" si="44"/>
        <v>0</v>
      </c>
      <c r="O87" s="1">
        <f t="shared" si="44"/>
        <v>0</v>
      </c>
      <c r="P87" s="1">
        <f t="shared" si="44"/>
        <v>0</v>
      </c>
      <c r="Q87" s="1">
        <f t="shared" si="44"/>
        <v>0</v>
      </c>
      <c r="R87" s="1">
        <f t="shared" si="44"/>
        <v>0</v>
      </c>
      <c r="S87" s="1">
        <f t="shared" si="44"/>
        <v>25656.548138559989</v>
      </c>
      <c r="T87" s="1">
        <f t="shared" si="44"/>
        <v>25608.022043364079</v>
      </c>
      <c r="U87" s="1">
        <f t="shared" si="44"/>
        <v>25559.587729100749</v>
      </c>
      <c r="V87" s="1">
        <f t="shared" si="44"/>
        <v>25511.245022178045</v>
      </c>
      <c r="W87" s="1">
        <f t="shared" si="44"/>
        <v>25462.993749332349</v>
      </c>
      <c r="X87" s="1">
        <f t="shared" si="44"/>
        <v>62920.590018458097</v>
      </c>
      <c r="Y87" s="1">
        <f t="shared" si="44"/>
        <v>62801.583731075669</v>
      </c>
      <c r="Z87" s="1">
        <f t="shared" si="44"/>
        <v>62682.802528938511</v>
      </c>
      <c r="AA87" s="1">
        <f t="shared" si="44"/>
        <v>62564.245986326518</v>
      </c>
      <c r="AB87" s="1">
        <f t="shared" si="44"/>
        <v>62445.913678324803</v>
      </c>
      <c r="AC87" s="1">
        <f t="shared" si="44"/>
        <v>115347.99076657429</v>
      </c>
      <c r="AD87" s="1">
        <f t="shared" si="44"/>
        <v>115129.82472372368</v>
      </c>
      <c r="AE87" s="1">
        <f t="shared" si="44"/>
        <v>114912.07131417459</v>
      </c>
      <c r="AF87" s="1">
        <f t="shared" si="44"/>
        <v>114694.72975748366</v>
      </c>
      <c r="AG87" s="1">
        <f t="shared" si="44"/>
        <v>114477.79927468358</v>
      </c>
      <c r="AH87" s="1">
        <f t="shared" si="44"/>
        <v>114261.27908828047</v>
      </c>
      <c r="AI87" s="1">
        <f t="shared" si="44"/>
        <v>155768.43946558426</v>
      </c>
      <c r="AJ87" s="1">
        <f t="shared" si="44"/>
        <v>155473.8232888015</v>
      </c>
      <c r="AK87" s="1">
        <f t="shared" si="44"/>
        <v>155179.76434101787</v>
      </c>
      <c r="AL87" s="1">
        <f t="shared" si="44"/>
        <v>154886.26156830566</v>
      </c>
      <c r="AM87" s="1">
        <f t="shared" si="44"/>
        <v>154593.31391873054</v>
      </c>
      <c r="AN87" s="1">
        <f t="shared" si="44"/>
        <v>154300.92034234773</v>
      </c>
      <c r="AO87" s="1">
        <f t="shared" si="44"/>
        <v>192569.21476265439</v>
      </c>
      <c r="AP87" s="1">
        <f t="shared" si="44"/>
        <v>192204.99460346121</v>
      </c>
      <c r="AQ87" s="1">
        <f t="shared" si="44"/>
        <v>191841.46332034058</v>
      </c>
      <c r="AR87" s="1">
        <f t="shared" si="44"/>
        <v>191478.6196103711</v>
      </c>
      <c r="AS87" s="1">
        <f t="shared" si="44"/>
        <v>191116.4621730957</v>
      </c>
      <c r="AT87" s="1">
        <f t="shared" si="44"/>
        <v>190754.98971051688</v>
      </c>
      <c r="AU87" s="1">
        <f t="shared" si="44"/>
        <v>190394.2009270922</v>
      </c>
      <c r="AV87" s="1">
        <f t="shared" si="44"/>
        <v>190034.0945297296</v>
      </c>
      <c r="AW87" s="1">
        <f t="shared" si="44"/>
        <v>189674.66922778264</v>
      </c>
      <c r="AX87" s="1">
        <f t="shared" si="44"/>
        <v>189315.92373304607</v>
      </c>
      <c r="AY87" s="1">
        <f t="shared" si="44"/>
        <v>188957.85675975107</v>
      </c>
      <c r="AZ87" s="1">
        <f t="shared" si="44"/>
        <v>188600.4670245607</v>
      </c>
      <c r="BA87" s="1">
        <f t="shared" si="44"/>
        <v>188243.75324656529</v>
      </c>
      <c r="BB87" s="1">
        <f t="shared" si="44"/>
        <v>0</v>
      </c>
      <c r="BC87" s="1">
        <f t="shared" si="44"/>
        <v>0</v>
      </c>
    </row>
    <row r="88" spans="2:55" x14ac:dyDescent="0.25">
      <c r="B88" s="5" t="s">
        <v>144</v>
      </c>
      <c r="C88" s="5">
        <f>(-PMT(C84/12,C86*12,D83)*12)-C87</f>
        <v>2137881.7504408229</v>
      </c>
      <c r="D88" s="5"/>
      <c r="E88" s="5"/>
      <c r="H88" s="45" t="s">
        <v>151</v>
      </c>
      <c r="I88" s="60">
        <f t="shared" si="43"/>
        <v>95379374.999999985</v>
      </c>
      <c r="J88" s="45"/>
      <c r="K88" s="45">
        <f>K86-K87</f>
        <v>0</v>
      </c>
      <c r="L88" s="45">
        <f>L86-L87</f>
        <v>0</v>
      </c>
      <c r="M88" s="45">
        <f t="shared" ref="M88:BC88" si="45">M86-M87</f>
        <v>0</v>
      </c>
      <c r="N88" s="45">
        <f t="shared" si="45"/>
        <v>0</v>
      </c>
      <c r="O88" s="45">
        <f t="shared" si="45"/>
        <v>0</v>
      </c>
      <c r="P88" s="45">
        <f t="shared" si="45"/>
        <v>0</v>
      </c>
      <c r="Q88" s="45">
        <f t="shared" si="45"/>
        <v>0</v>
      </c>
      <c r="R88" s="45">
        <f t="shared" si="45"/>
        <v>0</v>
      </c>
      <c r="S88" s="45">
        <f t="shared" si="45"/>
        <v>23558.22931480614</v>
      </c>
      <c r="T88" s="45">
        <f t="shared" si="45"/>
        <v>23513.671922587848</v>
      </c>
      <c r="U88" s="45">
        <f t="shared" si="45"/>
        <v>23469.198805005595</v>
      </c>
      <c r="V88" s="45">
        <f t="shared" si="45"/>
        <v>23424.80980266464</v>
      </c>
      <c r="W88" s="45">
        <f t="shared" si="45"/>
        <v>23380.504756471699</v>
      </c>
      <c r="X88" s="45">
        <f t="shared" si="45"/>
        <v>57774.634384660239</v>
      </c>
      <c r="Y88" s="45">
        <f t="shared" si="45"/>
        <v>57665.361017373325</v>
      </c>
      <c r="Z88" s="45">
        <f t="shared" si="45"/>
        <v>57556.294326752162</v>
      </c>
      <c r="AA88" s="45">
        <f t="shared" si="45"/>
        <v>57447.43392189411</v>
      </c>
      <c r="AB88" s="45">
        <f t="shared" si="45"/>
        <v>57338.7794126359</v>
      </c>
      <c r="AC88" s="45">
        <f t="shared" si="45"/>
        <v>105914.26417948429</v>
      </c>
      <c r="AD88" s="45">
        <f t="shared" si="45"/>
        <v>105713.94082973273</v>
      </c>
      <c r="AE88" s="45">
        <f t="shared" si="45"/>
        <v>105513.99636609975</v>
      </c>
      <c r="AF88" s="45">
        <f t="shared" si="45"/>
        <v>105314.43007197046</v>
      </c>
      <c r="AG88" s="45">
        <f t="shared" si="45"/>
        <v>105115.24123208539</v>
      </c>
      <c r="AH88" s="45">
        <f t="shared" si="45"/>
        <v>104916.42913253784</v>
      </c>
      <c r="AI88" s="45">
        <f t="shared" si="45"/>
        <v>143028.92957858738</v>
      </c>
      <c r="AJ88" s="45">
        <f t="shared" si="45"/>
        <v>142758.40856324977</v>
      </c>
      <c r="AK88" s="45">
        <f t="shared" si="45"/>
        <v>142488.39920398046</v>
      </c>
      <c r="AL88" s="45">
        <f t="shared" si="45"/>
        <v>142218.90053304686</v>
      </c>
      <c r="AM88" s="45">
        <f t="shared" si="45"/>
        <v>141949.91158454714</v>
      </c>
      <c r="AN88" s="45">
        <f t="shared" si="45"/>
        <v>141681.4313944061</v>
      </c>
      <c r="AO88" s="45">
        <f t="shared" si="45"/>
        <v>176819.95628759539</v>
      </c>
      <c r="AP88" s="45">
        <f t="shared" si="45"/>
        <v>176485.52384621595</v>
      </c>
      <c r="AQ88" s="45">
        <f t="shared" si="45"/>
        <v>176151.72394123228</v>
      </c>
      <c r="AR88" s="45">
        <f t="shared" si="45"/>
        <v>175818.55537628217</v>
      </c>
      <c r="AS88" s="45">
        <f t="shared" si="45"/>
        <v>175486.01695726652</v>
      </c>
      <c r="AT88" s="45">
        <f t="shared" si="45"/>
        <v>175154.10749234428</v>
      </c>
      <c r="AU88" s="45">
        <f t="shared" si="45"/>
        <v>174822.82579192912</v>
      </c>
      <c r="AV88" s="45">
        <f t="shared" si="45"/>
        <v>174492.17066868403</v>
      </c>
      <c r="AW88" s="45">
        <f t="shared" si="45"/>
        <v>174162.14093751833</v>
      </c>
      <c r="AX88" s="45">
        <f t="shared" si="45"/>
        <v>173832.73541558228</v>
      </c>
      <c r="AY88" s="45">
        <f t="shared" si="45"/>
        <v>173503.95292226391</v>
      </c>
      <c r="AZ88" s="45">
        <f t="shared" si="45"/>
        <v>173175.79227918349</v>
      </c>
      <c r="BA88" s="45">
        <f t="shared" si="45"/>
        <v>91387726.297749311</v>
      </c>
      <c r="BB88" s="45">
        <f t="shared" si="45"/>
        <v>0</v>
      </c>
      <c r="BC88" s="45">
        <f t="shared" si="45"/>
        <v>0</v>
      </c>
    </row>
    <row r="89" spans="2:55" x14ac:dyDescent="0.25">
      <c r="B89" s="5" t="s">
        <v>145</v>
      </c>
      <c r="C89" s="5">
        <f>E77-C87-C88</f>
        <v>4999333.8745591771</v>
      </c>
      <c r="D89" s="5"/>
      <c r="E89" s="5"/>
      <c r="H89" s="10" t="s">
        <v>152</v>
      </c>
      <c r="I89" s="61"/>
      <c r="K89" s="1">
        <f>K85-K88</f>
        <v>0</v>
      </c>
      <c r="L89" s="1">
        <f>L85-L88</f>
        <v>0</v>
      </c>
      <c r="M89" s="1">
        <f t="shared" ref="M89:BC89" si="46">M85-M88</f>
        <v>0</v>
      </c>
      <c r="N89" s="1">
        <f t="shared" si="46"/>
        <v>0</v>
      </c>
      <c r="O89" s="1">
        <f t="shared" si="46"/>
        <v>0</v>
      </c>
      <c r="P89" s="1">
        <f t="shared" si="46"/>
        <v>0</v>
      </c>
      <c r="Q89" s="1">
        <f t="shared" si="46"/>
        <v>0</v>
      </c>
      <c r="R89" s="1">
        <f t="shared" si="46"/>
        <v>0</v>
      </c>
      <c r="S89" s="1">
        <f t="shared" si="46"/>
        <v>12432066.770685194</v>
      </c>
      <c r="T89" s="1">
        <f t="shared" si="46"/>
        <v>12408553.098762605</v>
      </c>
      <c r="U89" s="1">
        <f t="shared" si="46"/>
        <v>12385083.899957599</v>
      </c>
      <c r="V89" s="1">
        <f t="shared" si="46"/>
        <v>12361659.090154935</v>
      </c>
      <c r="W89" s="1">
        <f t="shared" si="46"/>
        <v>12338278.585398464</v>
      </c>
      <c r="X89" s="1">
        <f t="shared" si="46"/>
        <v>30488628.951013803</v>
      </c>
      <c r="Y89" s="1">
        <f t="shared" si="46"/>
        <v>30430963.589996431</v>
      </c>
      <c r="Z89" s="1">
        <f t="shared" si="46"/>
        <v>30373407.295669679</v>
      </c>
      <c r="AA89" s="1">
        <f t="shared" si="46"/>
        <v>30315959.861747783</v>
      </c>
      <c r="AB89" s="1">
        <f t="shared" si="46"/>
        <v>30258621.082335148</v>
      </c>
      <c r="AC89" s="1">
        <f t="shared" si="46"/>
        <v>55892706.818155661</v>
      </c>
      <c r="AD89" s="1">
        <f t="shared" si="46"/>
        <v>55786992.87732593</v>
      </c>
      <c r="AE89" s="1">
        <f t="shared" si="46"/>
        <v>55681478.880959831</v>
      </c>
      <c r="AF89" s="1">
        <f t="shared" si="46"/>
        <v>55576164.450887859</v>
      </c>
      <c r="AG89" s="1">
        <f t="shared" si="46"/>
        <v>55471049.209655777</v>
      </c>
      <c r="AH89" s="1">
        <f t="shared" si="46"/>
        <v>55366132.780523241</v>
      </c>
      <c r="AI89" s="1">
        <f t="shared" si="46"/>
        <v>75478728.850944653</v>
      </c>
      <c r="AJ89" s="1">
        <f t="shared" si="46"/>
        <v>75335970.442381397</v>
      </c>
      <c r="AK89" s="1">
        <f t="shared" si="46"/>
        <v>75193482.043177411</v>
      </c>
      <c r="AL89" s="1">
        <f t="shared" si="46"/>
        <v>75051263.142644361</v>
      </c>
      <c r="AM89" s="1">
        <f t="shared" si="46"/>
        <v>74909313.231059819</v>
      </c>
      <c r="AN89" s="1">
        <f t="shared" si="46"/>
        <v>74767631.799665406</v>
      </c>
      <c r="AO89" s="1">
        <f t="shared" si="46"/>
        <v>93310811.843377814</v>
      </c>
      <c r="AP89" s="1">
        <f t="shared" si="46"/>
        <v>93134326.319531605</v>
      </c>
      <c r="AQ89" s="1">
        <f t="shared" si="46"/>
        <v>92958174.595590368</v>
      </c>
      <c r="AR89" s="1">
        <f t="shared" si="46"/>
        <v>92782356.040214092</v>
      </c>
      <c r="AS89" s="1">
        <f t="shared" si="46"/>
        <v>92606870.023256823</v>
      </c>
      <c r="AT89" s="1">
        <f t="shared" si="46"/>
        <v>92431715.915764481</v>
      </c>
      <c r="AU89" s="1">
        <f t="shared" si="46"/>
        <v>92256893.089972556</v>
      </c>
      <c r="AV89" s="1">
        <f t="shared" si="46"/>
        <v>92082400.919303864</v>
      </c>
      <c r="AW89" s="1">
        <f t="shared" si="46"/>
        <v>91908238.778366342</v>
      </c>
      <c r="AX89" s="1">
        <f t="shared" si="46"/>
        <v>91734406.042950764</v>
      </c>
      <c r="AY89" s="1">
        <f t="shared" si="46"/>
        <v>91560902.090028495</v>
      </c>
      <c r="AZ89" s="1">
        <f t="shared" si="46"/>
        <v>91387726.297749311</v>
      </c>
      <c r="BA89" s="1">
        <f t="shared" si="46"/>
        <v>0</v>
      </c>
      <c r="BB89" s="1">
        <f t="shared" si="46"/>
        <v>0</v>
      </c>
      <c r="BC89" s="1">
        <f t="shared" si="46"/>
        <v>0</v>
      </c>
    </row>
    <row r="90" spans="2:55" x14ac:dyDescent="0.25">
      <c r="B90" s="4" t="s">
        <v>146</v>
      </c>
      <c r="C90" s="57">
        <f>E77/SUM(C87:C88)</f>
        <v>2.1054686276803518</v>
      </c>
      <c r="D90" s="5"/>
      <c r="E90" s="5"/>
      <c r="H90" s="10"/>
      <c r="I90" s="61"/>
    </row>
    <row r="92" spans="2:55" s="15" customFormat="1" ht="19.5" thickBot="1" x14ac:dyDescent="0.35">
      <c r="B92" s="16" t="s">
        <v>155</v>
      </c>
      <c r="F92" s="32"/>
      <c r="I92" s="38"/>
    </row>
    <row r="94" spans="2:55" ht="15.75" x14ac:dyDescent="0.25">
      <c r="B94" s="44" t="s">
        <v>156</v>
      </c>
      <c r="C94" s="44"/>
      <c r="D94" s="44"/>
      <c r="E94" s="54">
        <f>E77-C87-C88</f>
        <v>4999333.8745591771</v>
      </c>
      <c r="F94" s="34"/>
      <c r="G94" s="22"/>
      <c r="H94" s="44" t="s">
        <v>156</v>
      </c>
      <c r="I94" s="39">
        <f>SUM(J94:BC94)</f>
        <v>12102691.512181982</v>
      </c>
      <c r="J94" s="40"/>
      <c r="K94" s="39">
        <f t="shared" ref="K94:BC94" si="47">K32+K75+K84-K86</f>
        <v>0</v>
      </c>
      <c r="L94" s="39">
        <f t="shared" si="47"/>
        <v>0</v>
      </c>
      <c r="M94" s="39">
        <f t="shared" si="47"/>
        <v>0</v>
      </c>
      <c r="N94" s="39">
        <f t="shared" si="47"/>
        <v>0</v>
      </c>
      <c r="O94" s="39">
        <f t="shared" si="47"/>
        <v>0</v>
      </c>
      <c r="P94" s="39">
        <f t="shared" si="47"/>
        <v>0</v>
      </c>
      <c r="Q94" s="39">
        <f t="shared" si="47"/>
        <v>0</v>
      </c>
      <c r="R94" s="39">
        <f t="shared" si="47"/>
        <v>0</v>
      </c>
      <c r="S94" s="55">
        <f t="shared" si="47"/>
        <v>12357589.394882234</v>
      </c>
      <c r="T94" s="55">
        <f t="shared" si="47"/>
        <v>-15711.852696110662</v>
      </c>
      <c r="U94" s="55">
        <f t="shared" si="47"/>
        <v>10411.723669975298</v>
      </c>
      <c r="V94" s="55">
        <f t="shared" si="47"/>
        <v>32422.83406404619</v>
      </c>
      <c r="W94" s="55">
        <f t="shared" si="47"/>
        <v>17389.0570497515</v>
      </c>
      <c r="X94" s="55">
        <f t="shared" si="47"/>
        <v>18150093.607853118</v>
      </c>
      <c r="Y94" s="55">
        <f t="shared" si="47"/>
        <v>44218.296521392273</v>
      </c>
      <c r="Z94" s="55">
        <f t="shared" si="47"/>
        <v>80538.053427756036</v>
      </c>
      <c r="AA94" s="55">
        <f t="shared" si="47"/>
        <v>117872.32564733492</v>
      </c>
      <c r="AB94" s="55">
        <f t="shared" si="47"/>
        <v>130291.61246459486</v>
      </c>
      <c r="AC94" s="55">
        <f t="shared" si="47"/>
        <v>25742513.827310178</v>
      </c>
      <c r="AD94" s="55">
        <f t="shared" si="47"/>
        <v>148201.39238305148</v>
      </c>
      <c r="AE94" s="55">
        <f t="shared" si="47"/>
        <v>142081.52491086474</v>
      </c>
      <c r="AF94" s="55">
        <f t="shared" si="47"/>
        <v>254386.47405943469</v>
      </c>
      <c r="AG94" s="55">
        <f t="shared" si="47"/>
        <v>269582.39338211983</v>
      </c>
      <c r="AH94" s="55">
        <f t="shared" si="47"/>
        <v>269997.72566807049</v>
      </c>
      <c r="AI94" s="55">
        <f t="shared" si="47"/>
        <v>20388360.57541728</v>
      </c>
      <c r="AJ94" s="55">
        <f t="shared" si="47"/>
        <v>206438.66613329662</v>
      </c>
      <c r="AK94" s="55">
        <f t="shared" si="47"/>
        <v>324072.32830307417</v>
      </c>
      <c r="AL94" s="55">
        <f t="shared" si="47"/>
        <v>363014.69123198063</v>
      </c>
      <c r="AM94" s="55">
        <f t="shared" si="47"/>
        <v>378856.22783005546</v>
      </c>
      <c r="AN94" s="55">
        <f t="shared" si="47"/>
        <v>379417.1015965793</v>
      </c>
      <c r="AO94" s="55">
        <f t="shared" si="47"/>
        <v>18904103.32119203</v>
      </c>
      <c r="AP94" s="55">
        <f t="shared" si="47"/>
        <v>391380.37107413216</v>
      </c>
      <c r="AQ94" s="55">
        <f t="shared" si="47"/>
        <v>368602.72774889291</v>
      </c>
      <c r="AR94" s="55">
        <f t="shared" si="47"/>
        <v>471992.70834668004</v>
      </c>
      <c r="AS94" s="55">
        <f t="shared" si="47"/>
        <v>487967.00420297094</v>
      </c>
      <c r="AT94" s="55">
        <f t="shared" si="47"/>
        <v>488660.386130472</v>
      </c>
      <c r="AU94" s="55">
        <f t="shared" si="47"/>
        <v>391100.68738354283</v>
      </c>
      <c r="AV94" s="55">
        <f t="shared" si="47"/>
        <v>417520.84762209922</v>
      </c>
      <c r="AW94" s="55">
        <f t="shared" si="47"/>
        <v>490983.58150136564</v>
      </c>
      <c r="AX94" s="55">
        <f t="shared" si="47"/>
        <v>488909.23251803825</v>
      </c>
      <c r="AY94" s="55">
        <f t="shared" si="47"/>
        <v>492358.58198465162</v>
      </c>
      <c r="AZ94" s="55">
        <f t="shared" si="47"/>
        <v>493044.13236292242</v>
      </c>
      <c r="BA94" s="55">
        <f t="shared" si="47"/>
        <v>-91575970.050995871</v>
      </c>
      <c r="BB94" s="55">
        <f t="shared" si="47"/>
        <v>0</v>
      </c>
      <c r="BC94" s="55">
        <f t="shared" si="47"/>
        <v>0</v>
      </c>
    </row>
    <row r="96" spans="2:55" s="15" customFormat="1" ht="19.5" thickBot="1" x14ac:dyDescent="0.35">
      <c r="B96" s="16" t="s">
        <v>118</v>
      </c>
      <c r="F96" s="32"/>
      <c r="I96" s="38"/>
    </row>
    <row r="98" spans="2:55" x14ac:dyDescent="0.25">
      <c r="B98" s="5" t="s">
        <v>94</v>
      </c>
      <c r="C98" s="7">
        <v>0.03</v>
      </c>
      <c r="D98" s="5" t="s">
        <v>72</v>
      </c>
      <c r="E98" s="5"/>
      <c r="H98" s="102" t="s">
        <v>98</v>
      </c>
      <c r="I98" s="103"/>
      <c r="J98" s="104"/>
      <c r="K98" s="104">
        <v>1</v>
      </c>
      <c r="L98" s="104">
        <v>1</v>
      </c>
      <c r="M98" s="104">
        <v>1</v>
      </c>
      <c r="N98" s="104">
        <v>1</v>
      </c>
      <c r="O98" s="104">
        <v>1</v>
      </c>
      <c r="P98" s="104">
        <v>1</v>
      </c>
      <c r="Q98" s="104">
        <v>1</v>
      </c>
      <c r="R98" s="104">
        <v>1</v>
      </c>
      <c r="S98" s="104">
        <v>1</v>
      </c>
      <c r="T98" s="104">
        <v>1</v>
      </c>
      <c r="U98" s="104">
        <v>1</v>
      </c>
      <c r="V98" s="104">
        <v>1</v>
      </c>
      <c r="W98" s="104">
        <v>2</v>
      </c>
      <c r="X98" s="104">
        <v>2</v>
      </c>
      <c r="Y98" s="104">
        <v>2</v>
      </c>
      <c r="Z98" s="104">
        <v>2</v>
      </c>
      <c r="AA98" s="104">
        <v>2</v>
      </c>
      <c r="AB98" s="104">
        <v>2</v>
      </c>
      <c r="AC98" s="104">
        <v>2</v>
      </c>
      <c r="AD98" s="104">
        <v>2</v>
      </c>
      <c r="AE98" s="104">
        <v>2</v>
      </c>
      <c r="AF98" s="104">
        <v>2</v>
      </c>
      <c r="AG98" s="104">
        <v>2</v>
      </c>
      <c r="AH98" s="104">
        <v>2</v>
      </c>
      <c r="AI98" s="104">
        <v>3</v>
      </c>
      <c r="AJ98" s="104">
        <v>3</v>
      </c>
      <c r="AK98" s="104">
        <v>3</v>
      </c>
      <c r="AL98" s="104">
        <v>3</v>
      </c>
      <c r="AM98" s="104">
        <v>3</v>
      </c>
      <c r="AN98" s="104">
        <v>3</v>
      </c>
      <c r="AO98" s="104">
        <v>3</v>
      </c>
      <c r="AP98" s="104">
        <v>3</v>
      </c>
      <c r="AQ98" s="104">
        <v>3</v>
      </c>
      <c r="AR98" s="104">
        <v>3</v>
      </c>
      <c r="AS98" s="104">
        <v>3</v>
      </c>
      <c r="AT98" s="104">
        <v>3</v>
      </c>
      <c r="AU98" s="104">
        <v>3</v>
      </c>
      <c r="AV98" s="104">
        <v>4</v>
      </c>
      <c r="AW98" s="104">
        <v>4</v>
      </c>
      <c r="AX98" s="104">
        <v>4</v>
      </c>
      <c r="AY98" s="104">
        <v>4</v>
      </c>
      <c r="AZ98" s="104">
        <v>4</v>
      </c>
      <c r="BA98" s="104">
        <v>4</v>
      </c>
      <c r="BB98" s="104">
        <v>4</v>
      </c>
      <c r="BC98" s="105">
        <v>4</v>
      </c>
    </row>
    <row r="99" spans="2:55" x14ac:dyDescent="0.25">
      <c r="B99" s="4" t="s">
        <v>95</v>
      </c>
      <c r="C99" s="47">
        <v>45474</v>
      </c>
      <c r="D99" s="5"/>
      <c r="E99" s="5"/>
      <c r="H99" s="106" t="s">
        <v>94</v>
      </c>
      <c r="I99" s="107"/>
      <c r="J99" s="108"/>
      <c r="K99" s="116">
        <f>IF(K98&gt;J98,1+$C$98*(K98-1),J99)</f>
        <v>1</v>
      </c>
      <c r="L99" s="116">
        <f t="shared" ref="L99:BC99" si="48">IF(L98&gt;K98,1+$C$98*(L98-1),K99)</f>
        <v>1</v>
      </c>
      <c r="M99" s="116">
        <f t="shared" si="48"/>
        <v>1</v>
      </c>
      <c r="N99" s="116">
        <f t="shared" si="48"/>
        <v>1</v>
      </c>
      <c r="O99" s="116">
        <f t="shared" si="48"/>
        <v>1</v>
      </c>
      <c r="P99" s="116">
        <f t="shared" si="48"/>
        <v>1</v>
      </c>
      <c r="Q99" s="116">
        <f t="shared" si="48"/>
        <v>1</v>
      </c>
      <c r="R99" s="116">
        <f t="shared" si="48"/>
        <v>1</v>
      </c>
      <c r="S99" s="116">
        <f t="shared" si="48"/>
        <v>1</v>
      </c>
      <c r="T99" s="116">
        <f t="shared" si="48"/>
        <v>1</v>
      </c>
      <c r="U99" s="116">
        <f t="shared" si="48"/>
        <v>1</v>
      </c>
      <c r="V99" s="116">
        <f t="shared" si="48"/>
        <v>1</v>
      </c>
      <c r="W99" s="116">
        <f t="shared" si="48"/>
        <v>1.03</v>
      </c>
      <c r="X99" s="116">
        <f t="shared" si="48"/>
        <v>1.03</v>
      </c>
      <c r="Y99" s="116">
        <f t="shared" si="48"/>
        <v>1.03</v>
      </c>
      <c r="Z99" s="116">
        <f t="shared" si="48"/>
        <v>1.03</v>
      </c>
      <c r="AA99" s="116">
        <f t="shared" si="48"/>
        <v>1.03</v>
      </c>
      <c r="AB99" s="116">
        <f t="shared" si="48"/>
        <v>1.03</v>
      </c>
      <c r="AC99" s="116">
        <f t="shared" si="48"/>
        <v>1.03</v>
      </c>
      <c r="AD99" s="116">
        <f t="shared" si="48"/>
        <v>1.03</v>
      </c>
      <c r="AE99" s="116">
        <f t="shared" si="48"/>
        <v>1.03</v>
      </c>
      <c r="AF99" s="116">
        <f t="shared" si="48"/>
        <v>1.03</v>
      </c>
      <c r="AG99" s="116">
        <f t="shared" si="48"/>
        <v>1.03</v>
      </c>
      <c r="AH99" s="116">
        <f t="shared" si="48"/>
        <v>1.03</v>
      </c>
      <c r="AI99" s="116">
        <f t="shared" si="48"/>
        <v>1.06</v>
      </c>
      <c r="AJ99" s="116">
        <f t="shared" si="48"/>
        <v>1.06</v>
      </c>
      <c r="AK99" s="116">
        <f t="shared" si="48"/>
        <v>1.06</v>
      </c>
      <c r="AL99" s="116">
        <f t="shared" si="48"/>
        <v>1.06</v>
      </c>
      <c r="AM99" s="116">
        <f t="shared" si="48"/>
        <v>1.06</v>
      </c>
      <c r="AN99" s="116">
        <f t="shared" si="48"/>
        <v>1.06</v>
      </c>
      <c r="AO99" s="116">
        <f t="shared" si="48"/>
        <v>1.06</v>
      </c>
      <c r="AP99" s="116">
        <f t="shared" si="48"/>
        <v>1.06</v>
      </c>
      <c r="AQ99" s="116">
        <f t="shared" si="48"/>
        <v>1.06</v>
      </c>
      <c r="AR99" s="116">
        <f t="shared" si="48"/>
        <v>1.06</v>
      </c>
      <c r="AS99" s="116">
        <f t="shared" si="48"/>
        <v>1.06</v>
      </c>
      <c r="AT99" s="116">
        <f t="shared" si="48"/>
        <v>1.06</v>
      </c>
      <c r="AU99" s="116">
        <f t="shared" si="48"/>
        <v>1.06</v>
      </c>
      <c r="AV99" s="116">
        <f t="shared" si="48"/>
        <v>1.0900000000000001</v>
      </c>
      <c r="AW99" s="116">
        <f t="shared" si="48"/>
        <v>1.0900000000000001</v>
      </c>
      <c r="AX99" s="116">
        <f t="shared" si="48"/>
        <v>1.0900000000000001</v>
      </c>
      <c r="AY99" s="116">
        <f t="shared" si="48"/>
        <v>1.0900000000000001</v>
      </c>
      <c r="AZ99" s="116">
        <f t="shared" si="48"/>
        <v>1.0900000000000001</v>
      </c>
      <c r="BA99" s="116">
        <f t="shared" si="48"/>
        <v>1.0900000000000001</v>
      </c>
      <c r="BB99" s="116">
        <f t="shared" si="48"/>
        <v>1.0900000000000001</v>
      </c>
      <c r="BC99" s="117">
        <f t="shared" si="48"/>
        <v>1.0900000000000001</v>
      </c>
    </row>
    <row r="100" spans="2:55" x14ac:dyDescent="0.25">
      <c r="B100" s="5" t="s">
        <v>96</v>
      </c>
      <c r="C100" s="52">
        <v>4</v>
      </c>
      <c r="D100" s="5" t="s">
        <v>97</v>
      </c>
      <c r="E100" s="5"/>
      <c r="H100" s="106" t="s">
        <v>161</v>
      </c>
      <c r="I100" s="107"/>
      <c r="J100" s="108"/>
      <c r="K100" s="116">
        <f t="shared" ref="K100:BC100" si="49">IF(K98&gt;J98,1+$C$106*(K98-1),J100)</f>
        <v>1</v>
      </c>
      <c r="L100" s="116">
        <f t="shared" si="49"/>
        <v>1</v>
      </c>
      <c r="M100" s="116">
        <f t="shared" si="49"/>
        <v>1</v>
      </c>
      <c r="N100" s="116">
        <f t="shared" si="49"/>
        <v>1</v>
      </c>
      <c r="O100" s="116">
        <f t="shared" si="49"/>
        <v>1</v>
      </c>
      <c r="P100" s="116">
        <f t="shared" si="49"/>
        <v>1</v>
      </c>
      <c r="Q100" s="116">
        <f t="shared" si="49"/>
        <v>1</v>
      </c>
      <c r="R100" s="116">
        <f t="shared" si="49"/>
        <v>1</v>
      </c>
      <c r="S100" s="116">
        <f t="shared" si="49"/>
        <v>1</v>
      </c>
      <c r="T100" s="116">
        <f t="shared" si="49"/>
        <v>1</v>
      </c>
      <c r="U100" s="116">
        <f t="shared" si="49"/>
        <v>1</v>
      </c>
      <c r="V100" s="116">
        <f t="shared" si="49"/>
        <v>1</v>
      </c>
      <c r="W100" s="116">
        <f t="shared" si="49"/>
        <v>1.0349999999999999</v>
      </c>
      <c r="X100" s="116">
        <f t="shared" si="49"/>
        <v>1.0349999999999999</v>
      </c>
      <c r="Y100" s="116">
        <f t="shared" si="49"/>
        <v>1.0349999999999999</v>
      </c>
      <c r="Z100" s="116">
        <f t="shared" si="49"/>
        <v>1.0349999999999999</v>
      </c>
      <c r="AA100" s="116">
        <f t="shared" si="49"/>
        <v>1.0349999999999999</v>
      </c>
      <c r="AB100" s="116">
        <f t="shared" si="49"/>
        <v>1.0349999999999999</v>
      </c>
      <c r="AC100" s="116">
        <f t="shared" si="49"/>
        <v>1.0349999999999999</v>
      </c>
      <c r="AD100" s="116">
        <f t="shared" si="49"/>
        <v>1.0349999999999999</v>
      </c>
      <c r="AE100" s="116">
        <f t="shared" si="49"/>
        <v>1.0349999999999999</v>
      </c>
      <c r="AF100" s="116">
        <f t="shared" si="49"/>
        <v>1.0349999999999999</v>
      </c>
      <c r="AG100" s="116">
        <f t="shared" si="49"/>
        <v>1.0349999999999999</v>
      </c>
      <c r="AH100" s="116">
        <f t="shared" si="49"/>
        <v>1.0349999999999999</v>
      </c>
      <c r="AI100" s="116">
        <f t="shared" si="49"/>
        <v>1.07</v>
      </c>
      <c r="AJ100" s="116">
        <f t="shared" si="49"/>
        <v>1.07</v>
      </c>
      <c r="AK100" s="116">
        <f t="shared" si="49"/>
        <v>1.07</v>
      </c>
      <c r="AL100" s="116">
        <f t="shared" si="49"/>
        <v>1.07</v>
      </c>
      <c r="AM100" s="116">
        <f t="shared" si="49"/>
        <v>1.07</v>
      </c>
      <c r="AN100" s="116">
        <f t="shared" si="49"/>
        <v>1.07</v>
      </c>
      <c r="AO100" s="116">
        <f t="shared" si="49"/>
        <v>1.07</v>
      </c>
      <c r="AP100" s="116">
        <f t="shared" si="49"/>
        <v>1.07</v>
      </c>
      <c r="AQ100" s="116">
        <f t="shared" si="49"/>
        <v>1.07</v>
      </c>
      <c r="AR100" s="116">
        <f t="shared" si="49"/>
        <v>1.07</v>
      </c>
      <c r="AS100" s="116">
        <f t="shared" si="49"/>
        <v>1.07</v>
      </c>
      <c r="AT100" s="116">
        <f t="shared" si="49"/>
        <v>1.07</v>
      </c>
      <c r="AU100" s="116">
        <f t="shared" si="49"/>
        <v>1.07</v>
      </c>
      <c r="AV100" s="116">
        <f t="shared" si="49"/>
        <v>1.105</v>
      </c>
      <c r="AW100" s="116">
        <f t="shared" si="49"/>
        <v>1.105</v>
      </c>
      <c r="AX100" s="116">
        <f t="shared" si="49"/>
        <v>1.105</v>
      </c>
      <c r="AY100" s="116">
        <f t="shared" si="49"/>
        <v>1.105</v>
      </c>
      <c r="AZ100" s="116">
        <f t="shared" si="49"/>
        <v>1.105</v>
      </c>
      <c r="BA100" s="116">
        <f t="shared" si="49"/>
        <v>1.105</v>
      </c>
      <c r="BB100" s="116">
        <f t="shared" si="49"/>
        <v>1.105</v>
      </c>
      <c r="BC100" s="117">
        <f t="shared" si="49"/>
        <v>1.105</v>
      </c>
    </row>
    <row r="101" spans="2:55" x14ac:dyDescent="0.25">
      <c r="B101" s="3"/>
      <c r="C101" s="53"/>
      <c r="D101" s="3"/>
      <c r="E101" s="3"/>
      <c r="H101" s="106"/>
      <c r="I101" s="107"/>
      <c r="J101" s="108"/>
      <c r="K101" s="108"/>
      <c r="L101" s="108"/>
      <c r="M101" s="108"/>
      <c r="N101" s="108"/>
      <c r="O101" s="108"/>
      <c r="P101" s="108"/>
      <c r="Q101" s="108"/>
      <c r="R101" s="108"/>
      <c r="S101" s="108"/>
      <c r="T101" s="108"/>
      <c r="U101" s="108"/>
      <c r="V101" s="108"/>
      <c r="W101" s="108"/>
      <c r="X101" s="108"/>
      <c r="Y101" s="108"/>
      <c r="Z101" s="108"/>
      <c r="AA101" s="108"/>
      <c r="AB101" s="108"/>
      <c r="AC101" s="108"/>
      <c r="AD101" s="108"/>
      <c r="AE101" s="108"/>
      <c r="AF101" s="108"/>
      <c r="AG101" s="108"/>
      <c r="AH101" s="108"/>
      <c r="AI101" s="108"/>
      <c r="AJ101" s="108"/>
      <c r="AK101" s="108"/>
      <c r="AL101" s="108"/>
      <c r="AM101" s="108"/>
      <c r="AN101" s="108"/>
      <c r="AO101" s="108"/>
      <c r="AP101" s="108"/>
      <c r="AQ101" s="108"/>
      <c r="AR101" s="108"/>
      <c r="AS101" s="108"/>
      <c r="AT101" s="108"/>
      <c r="AU101" s="108"/>
      <c r="AV101" s="108"/>
      <c r="AW101" s="108"/>
      <c r="AX101" s="108"/>
      <c r="AY101" s="108"/>
      <c r="AZ101" s="108"/>
      <c r="BA101" s="108"/>
      <c r="BB101" s="108"/>
      <c r="BC101" s="111"/>
    </row>
    <row r="102" spans="2:55" x14ac:dyDescent="0.25">
      <c r="B102" s="8" t="s">
        <v>0</v>
      </c>
      <c r="C102" s="8"/>
      <c r="D102" s="8" t="s">
        <v>2</v>
      </c>
      <c r="E102" s="8" t="s">
        <v>1</v>
      </c>
      <c r="H102" s="106" t="s">
        <v>99</v>
      </c>
      <c r="I102" s="107"/>
      <c r="J102" s="108"/>
      <c r="K102" s="112">
        <f>(K$5&lt;$C$99)*IFERROR(DATEDIF('Accom_Phase Schedule'!$E65,K$5,"y")+1,0)</f>
        <v>0</v>
      </c>
      <c r="L102" s="112">
        <f>(L$5&lt;$C$99)*IFERROR(DATEDIF('Accom_Phase Schedule'!$E65,L$5,"y")+1,0)</f>
        <v>0</v>
      </c>
      <c r="M102" s="112">
        <f>(M$5&lt;$C$99)*IFERROR(DATEDIF('Accom_Phase Schedule'!$E65,M$5,"y")+1,0)</f>
        <v>0</v>
      </c>
      <c r="N102" s="112">
        <f>(N$5&lt;$C$99)*IFERROR(DATEDIF('Accom_Phase Schedule'!$E65,N$5,"y")+1,0)</f>
        <v>0</v>
      </c>
      <c r="O102" s="112">
        <f>(O$5&lt;$C$99)*IFERROR(DATEDIF('Accom_Phase Schedule'!$E65,O$5,"y")+1,0)</f>
        <v>0</v>
      </c>
      <c r="P102" s="112">
        <f>(P$5&lt;$C$99)*IFERROR(DATEDIF('Accom_Phase Schedule'!$E65,P$5,"y")+1,0)</f>
        <v>0</v>
      </c>
      <c r="Q102" s="112">
        <f>(Q$5&lt;$C$99)*IFERROR(DATEDIF('Accom_Phase Schedule'!$E65,Q$5,"y")+1,0)</f>
        <v>0</v>
      </c>
      <c r="R102" s="112">
        <f>(R$5&lt;$C$99)*IFERROR(DATEDIF('Accom_Phase Schedule'!$E65,R$5,"y")+1,0)</f>
        <v>0</v>
      </c>
      <c r="S102" s="112">
        <f>(S$5&lt;$C$99)*IFERROR(DATEDIF('Accom_Phase Schedule'!$E65,S$5,"y")+1,0)</f>
        <v>1</v>
      </c>
      <c r="T102" s="112">
        <f>(T$5&lt;$C$99)*IFERROR(DATEDIF('Accom_Phase Schedule'!$E65,T$5,"y")+1,0)</f>
        <v>1</v>
      </c>
      <c r="U102" s="112">
        <f>(U$5&lt;$C$99)*IFERROR(DATEDIF('Accom_Phase Schedule'!$E65,U$5,"y")+1,0)</f>
        <v>1</v>
      </c>
      <c r="V102" s="112">
        <f>(V$5&lt;$C$99)*IFERROR(DATEDIF('Accom_Phase Schedule'!$E65,V$5,"y")+1,0)</f>
        <v>1</v>
      </c>
      <c r="W102" s="112">
        <f>(W$5&lt;$C$99)*IFERROR(DATEDIF('Accom_Phase Schedule'!$E65,W$5,"y")+1,0)</f>
        <v>1</v>
      </c>
      <c r="X102" s="112">
        <f>(X$5&lt;$C$99)*IFERROR(DATEDIF('Accom_Phase Schedule'!$E65,X$5,"y")+1,0)</f>
        <v>1</v>
      </c>
      <c r="Y102" s="112">
        <f>(Y$5&lt;$C$99)*IFERROR(DATEDIF('Accom_Phase Schedule'!$E65,Y$5,"y")+1,0)</f>
        <v>1</v>
      </c>
      <c r="Z102" s="112">
        <f>(Z$5&lt;$C$99)*IFERROR(DATEDIF('Accom_Phase Schedule'!$E65,Z$5,"y")+1,0)</f>
        <v>1</v>
      </c>
      <c r="AA102" s="112">
        <f>(AA$5&lt;$C$99)*IFERROR(DATEDIF('Accom_Phase Schedule'!$E65,AA$5,"y")+1,0)</f>
        <v>1</v>
      </c>
      <c r="AB102" s="112">
        <f>(AB$5&lt;$C$99)*IFERROR(DATEDIF('Accom_Phase Schedule'!$E65,AB$5,"y")+1,0)</f>
        <v>1</v>
      </c>
      <c r="AC102" s="112">
        <f>(AC$5&lt;$C$99)*IFERROR(DATEDIF('Accom_Phase Schedule'!$E65,AC$5,"y")+1,0)</f>
        <v>1</v>
      </c>
      <c r="AD102" s="112">
        <f>(AD$5&lt;$C$99)*IFERROR(DATEDIF('Accom_Phase Schedule'!$E65,AD$5,"y")+1,0)</f>
        <v>1</v>
      </c>
      <c r="AE102" s="112">
        <f>(AE$5&lt;$C$99)*IFERROR(DATEDIF('Accom_Phase Schedule'!$E65,AE$5,"y")+1,0)</f>
        <v>2</v>
      </c>
      <c r="AF102" s="112">
        <f>(AF$5&lt;$C$99)*IFERROR(DATEDIF('Accom_Phase Schedule'!$E65,AF$5,"y")+1,0)</f>
        <v>2</v>
      </c>
      <c r="AG102" s="112">
        <f>(AG$5&lt;$C$99)*IFERROR(DATEDIF('Accom_Phase Schedule'!$E65,AG$5,"y")+1,0)</f>
        <v>2</v>
      </c>
      <c r="AH102" s="112">
        <f>(AH$5&lt;$C$99)*IFERROR(DATEDIF('Accom_Phase Schedule'!$E65,AH$5,"y")+1,0)</f>
        <v>2</v>
      </c>
      <c r="AI102" s="112">
        <f>(AI$5&lt;$C$99)*IFERROR(DATEDIF('Accom_Phase Schedule'!$E65,AI$5,"y")+1,0)</f>
        <v>2</v>
      </c>
      <c r="AJ102" s="112">
        <f>(AJ$5&lt;$C$99)*IFERROR(DATEDIF('Accom_Phase Schedule'!$E65,AJ$5,"y")+1,0)</f>
        <v>2</v>
      </c>
      <c r="AK102" s="112">
        <f>(AK$5&lt;$C$99)*IFERROR(DATEDIF('Accom_Phase Schedule'!$E65,AK$5,"y")+1,0)</f>
        <v>2</v>
      </c>
      <c r="AL102" s="112">
        <f>(AL$5&lt;$C$99)*IFERROR(DATEDIF('Accom_Phase Schedule'!$E65,AL$5,"y")+1,0)</f>
        <v>2</v>
      </c>
      <c r="AM102" s="112">
        <f>(AM$5&lt;$C$99)*IFERROR(DATEDIF('Accom_Phase Schedule'!$E65,AM$5,"y")+1,0)</f>
        <v>2</v>
      </c>
      <c r="AN102" s="112">
        <f>(AN$5&lt;$C$99)*IFERROR(DATEDIF('Accom_Phase Schedule'!$E65,AN$5,"y")+1,0)</f>
        <v>2</v>
      </c>
      <c r="AO102" s="112">
        <f>(AO$5&lt;$C$99)*IFERROR(DATEDIF('Accom_Phase Schedule'!$E65,AO$5,"y")+1,0)</f>
        <v>2</v>
      </c>
      <c r="AP102" s="112">
        <f>(AP$5&lt;$C$99)*IFERROR(DATEDIF('Accom_Phase Schedule'!$E65,AP$5,"y")+1,0)</f>
        <v>2</v>
      </c>
      <c r="AQ102" s="112">
        <f>(AQ$5&lt;$C$99)*IFERROR(DATEDIF('Accom_Phase Schedule'!$E65,AQ$5,"y")+1,0)</f>
        <v>3</v>
      </c>
      <c r="AR102" s="112">
        <f>(AR$5&lt;$C$99)*IFERROR(DATEDIF('Accom_Phase Schedule'!$E65,AR$5,"y")+1,0)</f>
        <v>3</v>
      </c>
      <c r="AS102" s="112">
        <f>(AS$5&lt;$C$99)*IFERROR(DATEDIF('Accom_Phase Schedule'!$E65,AS$5,"y")+1,0)</f>
        <v>3</v>
      </c>
      <c r="AT102" s="112">
        <f>(AT$5&lt;$C$99)*IFERROR(DATEDIF('Accom_Phase Schedule'!$E65,AT$5,"y")+1,0)</f>
        <v>3</v>
      </c>
      <c r="AU102" s="112">
        <f>(AU$5&lt;$C$99)*IFERROR(DATEDIF('Accom_Phase Schedule'!$E65,AU$5,"y")+1,0)</f>
        <v>3</v>
      </c>
      <c r="AV102" s="112">
        <f>(AV$5&lt;$C$99)*IFERROR(DATEDIF('Accom_Phase Schedule'!$E65,AV$5,"y")+1,0)</f>
        <v>3</v>
      </c>
      <c r="AW102" s="112">
        <f>(AW$5&lt;$C$99)*IFERROR(DATEDIF('Accom_Phase Schedule'!$E65,AW$5,"y")+1,0)</f>
        <v>3</v>
      </c>
      <c r="AX102" s="112">
        <f>(AX$5&lt;$C$99)*IFERROR(DATEDIF('Accom_Phase Schedule'!$E65,AX$5,"y")+1,0)</f>
        <v>3</v>
      </c>
      <c r="AY102" s="112">
        <f>(AY$5&lt;$C$99)*IFERROR(DATEDIF('Accom_Phase Schedule'!$E65,AY$5,"y")+1,0)</f>
        <v>3</v>
      </c>
      <c r="AZ102" s="112">
        <f>(AZ$5&lt;$C$99)*IFERROR(DATEDIF('Accom_Phase Schedule'!$E65,AZ$5,"y")+1,0)</f>
        <v>3</v>
      </c>
      <c r="BA102" s="112">
        <f>(BA$5&lt;$C$99)*IFERROR(DATEDIF('Accom_Phase Schedule'!$E65,BA$5,"y")+1,0)</f>
        <v>0</v>
      </c>
      <c r="BB102" s="112">
        <f>(BB$5&lt;$C$99)*IFERROR(DATEDIF('Accom_Phase Schedule'!$E65,BB$5,"y")+1,0)</f>
        <v>0</v>
      </c>
      <c r="BC102" s="113">
        <f>(BC$5&lt;$C$99)*IFERROR(DATEDIF('Accom_Phase Schedule'!$E65,BC$5,"y")+1,0)</f>
        <v>0</v>
      </c>
    </row>
    <row r="103" spans="2:55" x14ac:dyDescent="0.25">
      <c r="B103" s="5" t="s">
        <v>71</v>
      </c>
      <c r="C103" s="48">
        <f>ROUND(E103*'Accom_Phase Schedule'!J45,0)</f>
        <v>23</v>
      </c>
      <c r="D103" s="5" t="s">
        <v>72</v>
      </c>
      <c r="E103" s="7">
        <v>0.05</v>
      </c>
      <c r="H103" s="106" t="s">
        <v>100</v>
      </c>
      <c r="I103" s="107"/>
      <c r="J103" s="108"/>
      <c r="K103" s="112">
        <f>(K$5&lt;$C$99)*IFERROR(DATEDIF('Accom_Phase Schedule'!$E66,K$5,"y")+1,0)</f>
        <v>0</v>
      </c>
      <c r="L103" s="112">
        <f>(L$5&lt;$C$99)*IFERROR(DATEDIF('Accom_Phase Schedule'!$E66,L$5,"y")+1,0)</f>
        <v>0</v>
      </c>
      <c r="M103" s="112">
        <f>(M$5&lt;$C$99)*IFERROR(DATEDIF('Accom_Phase Schedule'!$E66,M$5,"y")+1,0)</f>
        <v>0</v>
      </c>
      <c r="N103" s="112">
        <f>(N$5&lt;$C$99)*IFERROR(DATEDIF('Accom_Phase Schedule'!$E66,N$5,"y")+1,0)</f>
        <v>0</v>
      </c>
      <c r="O103" s="112">
        <f>(O$5&lt;$C$99)*IFERROR(DATEDIF('Accom_Phase Schedule'!$E66,O$5,"y")+1,0)</f>
        <v>0</v>
      </c>
      <c r="P103" s="112">
        <f>(P$5&lt;$C$99)*IFERROR(DATEDIF('Accom_Phase Schedule'!$E66,P$5,"y")+1,0)</f>
        <v>0</v>
      </c>
      <c r="Q103" s="112">
        <f>(Q$5&lt;$C$99)*IFERROR(DATEDIF('Accom_Phase Schedule'!$E66,Q$5,"y")+1,0)</f>
        <v>0</v>
      </c>
      <c r="R103" s="112">
        <f>(R$5&lt;$C$99)*IFERROR(DATEDIF('Accom_Phase Schedule'!$E66,R$5,"y")+1,0)</f>
        <v>0</v>
      </c>
      <c r="S103" s="112">
        <f>(S$5&lt;$C$99)*IFERROR(DATEDIF('Accom_Phase Schedule'!$E66,S$5,"y")+1,0)</f>
        <v>0</v>
      </c>
      <c r="T103" s="112">
        <f>(T$5&lt;$C$99)*IFERROR(DATEDIF('Accom_Phase Schedule'!$E66,T$5,"y")+1,0)</f>
        <v>0</v>
      </c>
      <c r="U103" s="112">
        <f>(U$5&lt;$C$99)*IFERROR(DATEDIF('Accom_Phase Schedule'!$E66,U$5,"y")+1,0)</f>
        <v>0</v>
      </c>
      <c r="V103" s="112">
        <f>(V$5&lt;$C$99)*IFERROR(DATEDIF('Accom_Phase Schedule'!$E66,V$5,"y")+1,0)</f>
        <v>0</v>
      </c>
      <c r="W103" s="112">
        <f>(W$5&lt;$C$99)*IFERROR(DATEDIF('Accom_Phase Schedule'!$E66,W$5,"y")+1,0)</f>
        <v>0</v>
      </c>
      <c r="X103" s="112">
        <f>(X$5&lt;$C$99)*IFERROR(DATEDIF('Accom_Phase Schedule'!$E66,X$5,"y")+1,0)</f>
        <v>1</v>
      </c>
      <c r="Y103" s="112">
        <f>(Y$5&lt;$C$99)*IFERROR(DATEDIF('Accom_Phase Schedule'!$E66,Y$5,"y")+1,0)</f>
        <v>1</v>
      </c>
      <c r="Z103" s="112">
        <f>(Z$5&lt;$C$99)*IFERROR(DATEDIF('Accom_Phase Schedule'!$E66,Z$5,"y")+1,0)</f>
        <v>1</v>
      </c>
      <c r="AA103" s="112">
        <f>(AA$5&lt;$C$99)*IFERROR(DATEDIF('Accom_Phase Schedule'!$E66,AA$5,"y")+1,0)</f>
        <v>1</v>
      </c>
      <c r="AB103" s="112">
        <f>(AB$5&lt;$C$99)*IFERROR(DATEDIF('Accom_Phase Schedule'!$E66,AB$5,"y")+1,0)</f>
        <v>1</v>
      </c>
      <c r="AC103" s="112">
        <f>(AC$5&lt;$C$99)*IFERROR(DATEDIF('Accom_Phase Schedule'!$E66,AC$5,"y")+1,0)</f>
        <v>1</v>
      </c>
      <c r="AD103" s="112">
        <f>(AD$5&lt;$C$99)*IFERROR(DATEDIF('Accom_Phase Schedule'!$E66,AD$5,"y")+1,0)</f>
        <v>1</v>
      </c>
      <c r="AE103" s="112">
        <f>(AE$5&lt;$C$99)*IFERROR(DATEDIF('Accom_Phase Schedule'!$E66,AE$5,"y")+1,0)</f>
        <v>1</v>
      </c>
      <c r="AF103" s="112">
        <f>(AF$5&lt;$C$99)*IFERROR(DATEDIF('Accom_Phase Schedule'!$E66,AF$5,"y")+1,0)</f>
        <v>1</v>
      </c>
      <c r="AG103" s="112">
        <f>(AG$5&lt;$C$99)*IFERROR(DATEDIF('Accom_Phase Schedule'!$E66,AG$5,"y")+1,0)</f>
        <v>1</v>
      </c>
      <c r="AH103" s="112">
        <f>(AH$5&lt;$C$99)*IFERROR(DATEDIF('Accom_Phase Schedule'!$E66,AH$5,"y")+1,0)</f>
        <v>1</v>
      </c>
      <c r="AI103" s="112">
        <f>(AI$5&lt;$C$99)*IFERROR(DATEDIF('Accom_Phase Schedule'!$E66,AI$5,"y")+1,0)</f>
        <v>1</v>
      </c>
      <c r="AJ103" s="112">
        <f>(AJ$5&lt;$C$99)*IFERROR(DATEDIF('Accom_Phase Schedule'!$E66,AJ$5,"y")+1,0)</f>
        <v>2</v>
      </c>
      <c r="AK103" s="112">
        <f>(AK$5&lt;$C$99)*IFERROR(DATEDIF('Accom_Phase Schedule'!$E66,AK$5,"y")+1,0)</f>
        <v>2</v>
      </c>
      <c r="AL103" s="112">
        <f>(AL$5&lt;$C$99)*IFERROR(DATEDIF('Accom_Phase Schedule'!$E66,AL$5,"y")+1,0)</f>
        <v>2</v>
      </c>
      <c r="AM103" s="112">
        <f>(AM$5&lt;$C$99)*IFERROR(DATEDIF('Accom_Phase Schedule'!$E66,AM$5,"y")+1,0)</f>
        <v>2</v>
      </c>
      <c r="AN103" s="112">
        <f>(AN$5&lt;$C$99)*IFERROR(DATEDIF('Accom_Phase Schedule'!$E66,AN$5,"y")+1,0)</f>
        <v>2</v>
      </c>
      <c r="AO103" s="112">
        <f>(AO$5&lt;$C$99)*IFERROR(DATEDIF('Accom_Phase Schedule'!$E66,AO$5,"y")+1,0)</f>
        <v>2</v>
      </c>
      <c r="AP103" s="112">
        <f>(AP$5&lt;$C$99)*IFERROR(DATEDIF('Accom_Phase Schedule'!$E66,AP$5,"y")+1,0)</f>
        <v>2</v>
      </c>
      <c r="AQ103" s="112">
        <f>(AQ$5&lt;$C$99)*IFERROR(DATEDIF('Accom_Phase Schedule'!$E66,AQ$5,"y")+1,0)</f>
        <v>2</v>
      </c>
      <c r="AR103" s="112">
        <f>(AR$5&lt;$C$99)*IFERROR(DATEDIF('Accom_Phase Schedule'!$E66,AR$5,"y")+1,0)</f>
        <v>2</v>
      </c>
      <c r="AS103" s="112">
        <f>(AS$5&lt;$C$99)*IFERROR(DATEDIF('Accom_Phase Schedule'!$E66,AS$5,"y")+1,0)</f>
        <v>2</v>
      </c>
      <c r="AT103" s="112">
        <f>(AT$5&lt;$C$99)*IFERROR(DATEDIF('Accom_Phase Schedule'!$E66,AT$5,"y")+1,0)</f>
        <v>2</v>
      </c>
      <c r="AU103" s="112">
        <f>(AU$5&lt;$C$99)*IFERROR(DATEDIF('Accom_Phase Schedule'!$E66,AU$5,"y")+1,0)</f>
        <v>2</v>
      </c>
      <c r="AV103" s="112">
        <f>(AV$5&lt;$C$99)*IFERROR(DATEDIF('Accom_Phase Schedule'!$E66,AV$5,"y")+1,0)</f>
        <v>3</v>
      </c>
      <c r="AW103" s="112">
        <f>(AW$5&lt;$C$99)*IFERROR(DATEDIF('Accom_Phase Schedule'!$E66,AW$5,"y")+1,0)</f>
        <v>3</v>
      </c>
      <c r="AX103" s="112">
        <f>(AX$5&lt;$C$99)*IFERROR(DATEDIF('Accom_Phase Schedule'!$E66,AX$5,"y")+1,0)</f>
        <v>3</v>
      </c>
      <c r="AY103" s="112">
        <f>(AY$5&lt;$C$99)*IFERROR(DATEDIF('Accom_Phase Schedule'!$E66,AY$5,"y")+1,0)</f>
        <v>3</v>
      </c>
      <c r="AZ103" s="112">
        <f>(AZ$5&lt;$C$99)*IFERROR(DATEDIF('Accom_Phase Schedule'!$E66,AZ$5,"y")+1,0)</f>
        <v>3</v>
      </c>
      <c r="BA103" s="112">
        <f>(BA$5&lt;$C$99)*IFERROR(DATEDIF('Accom_Phase Schedule'!$E66,BA$5,"y")+1,0)</f>
        <v>0</v>
      </c>
      <c r="BB103" s="112">
        <f>(BB$5&lt;$C$99)*IFERROR(DATEDIF('Accom_Phase Schedule'!$E66,BB$5,"y")+1,0)</f>
        <v>0</v>
      </c>
      <c r="BC103" s="113">
        <f>(BC$5&lt;$C$99)*IFERROR(DATEDIF('Accom_Phase Schedule'!$E66,BC$5,"y")+1,0)</f>
        <v>0</v>
      </c>
    </row>
    <row r="104" spans="2:55" x14ac:dyDescent="0.25">
      <c r="B104" s="5" t="s">
        <v>73</v>
      </c>
      <c r="C104" s="5"/>
      <c r="D104" s="5"/>
      <c r="E104" s="49">
        <v>3</v>
      </c>
      <c r="H104" s="106" t="s">
        <v>101</v>
      </c>
      <c r="I104" s="107"/>
      <c r="J104" s="108"/>
      <c r="K104" s="112">
        <f>(K$5&lt;$C$99)*IFERROR(DATEDIF('Accom_Phase Schedule'!$E67,K$5,"y")+1,0)</f>
        <v>0</v>
      </c>
      <c r="L104" s="112">
        <f>(L$5&lt;$C$99)*IFERROR(DATEDIF('Accom_Phase Schedule'!$E67,L$5,"y")+1,0)</f>
        <v>0</v>
      </c>
      <c r="M104" s="112">
        <f>(M$5&lt;$C$99)*IFERROR(DATEDIF('Accom_Phase Schedule'!$E67,M$5,"y")+1,0)</f>
        <v>0</v>
      </c>
      <c r="N104" s="112">
        <f>(N$5&lt;$C$99)*IFERROR(DATEDIF('Accom_Phase Schedule'!$E67,N$5,"y")+1,0)</f>
        <v>0</v>
      </c>
      <c r="O104" s="112">
        <f>(O$5&lt;$C$99)*IFERROR(DATEDIF('Accom_Phase Schedule'!$E67,O$5,"y")+1,0)</f>
        <v>0</v>
      </c>
      <c r="P104" s="112">
        <f>(P$5&lt;$C$99)*IFERROR(DATEDIF('Accom_Phase Schedule'!$E67,P$5,"y")+1,0)</f>
        <v>0</v>
      </c>
      <c r="Q104" s="112">
        <f>(Q$5&lt;$C$99)*IFERROR(DATEDIF('Accom_Phase Schedule'!$E67,Q$5,"y")+1,0)</f>
        <v>0</v>
      </c>
      <c r="R104" s="112">
        <f>(R$5&lt;$C$99)*IFERROR(DATEDIF('Accom_Phase Schedule'!$E67,R$5,"y")+1,0)</f>
        <v>0</v>
      </c>
      <c r="S104" s="112">
        <f>(S$5&lt;$C$99)*IFERROR(DATEDIF('Accom_Phase Schedule'!$E67,S$5,"y")+1,0)</f>
        <v>0</v>
      </c>
      <c r="T104" s="112">
        <f>(T$5&lt;$C$99)*IFERROR(DATEDIF('Accom_Phase Schedule'!$E67,T$5,"y")+1,0)</f>
        <v>0</v>
      </c>
      <c r="U104" s="112">
        <f>(U$5&lt;$C$99)*IFERROR(DATEDIF('Accom_Phase Schedule'!$E67,U$5,"y")+1,0)</f>
        <v>0</v>
      </c>
      <c r="V104" s="112">
        <f>(V$5&lt;$C$99)*IFERROR(DATEDIF('Accom_Phase Schedule'!$E67,V$5,"y")+1,0)</f>
        <v>0</v>
      </c>
      <c r="W104" s="112">
        <f>(W$5&lt;$C$99)*IFERROR(DATEDIF('Accom_Phase Schedule'!$E67,W$5,"y")+1,0)</f>
        <v>0</v>
      </c>
      <c r="X104" s="112">
        <f>(X$5&lt;$C$99)*IFERROR(DATEDIF('Accom_Phase Schedule'!$E67,X$5,"y")+1,0)</f>
        <v>0</v>
      </c>
      <c r="Y104" s="112">
        <f>(Y$5&lt;$C$99)*IFERROR(DATEDIF('Accom_Phase Schedule'!$E67,Y$5,"y")+1,0)</f>
        <v>0</v>
      </c>
      <c r="Z104" s="112">
        <f>(Z$5&lt;$C$99)*IFERROR(DATEDIF('Accom_Phase Schedule'!$E67,Z$5,"y")+1,0)</f>
        <v>0</v>
      </c>
      <c r="AA104" s="112">
        <f>(AA$5&lt;$C$99)*IFERROR(DATEDIF('Accom_Phase Schedule'!$E67,AA$5,"y")+1,0)</f>
        <v>0</v>
      </c>
      <c r="AB104" s="112">
        <f>(AB$5&lt;$C$99)*IFERROR(DATEDIF('Accom_Phase Schedule'!$E67,AB$5,"y")+1,0)</f>
        <v>0</v>
      </c>
      <c r="AC104" s="112">
        <f>(AC$5&lt;$C$99)*IFERROR(DATEDIF('Accom_Phase Schedule'!$E67,AC$5,"y")+1,0)</f>
        <v>1</v>
      </c>
      <c r="AD104" s="112">
        <f>(AD$5&lt;$C$99)*IFERROR(DATEDIF('Accom_Phase Schedule'!$E67,AD$5,"y")+1,0)</f>
        <v>1</v>
      </c>
      <c r="AE104" s="112">
        <f>(AE$5&lt;$C$99)*IFERROR(DATEDIF('Accom_Phase Schedule'!$E67,AE$5,"y")+1,0)</f>
        <v>1</v>
      </c>
      <c r="AF104" s="112">
        <f>(AF$5&lt;$C$99)*IFERROR(DATEDIF('Accom_Phase Schedule'!$E67,AF$5,"y")+1,0)</f>
        <v>1</v>
      </c>
      <c r="AG104" s="112">
        <f>(AG$5&lt;$C$99)*IFERROR(DATEDIF('Accom_Phase Schedule'!$E67,AG$5,"y")+1,0)</f>
        <v>1</v>
      </c>
      <c r="AH104" s="112">
        <f>(AH$5&lt;$C$99)*IFERROR(DATEDIF('Accom_Phase Schedule'!$E67,AH$5,"y")+1,0)</f>
        <v>1</v>
      </c>
      <c r="AI104" s="112">
        <f>(AI$5&lt;$C$99)*IFERROR(DATEDIF('Accom_Phase Schedule'!$E67,AI$5,"y")+1,0)</f>
        <v>1</v>
      </c>
      <c r="AJ104" s="112">
        <f>(AJ$5&lt;$C$99)*IFERROR(DATEDIF('Accom_Phase Schedule'!$E67,AJ$5,"y")+1,0)</f>
        <v>1</v>
      </c>
      <c r="AK104" s="112">
        <f>(AK$5&lt;$C$99)*IFERROR(DATEDIF('Accom_Phase Schedule'!$E67,AK$5,"y")+1,0)</f>
        <v>1</v>
      </c>
      <c r="AL104" s="112">
        <f>(AL$5&lt;$C$99)*IFERROR(DATEDIF('Accom_Phase Schedule'!$E67,AL$5,"y")+1,0)</f>
        <v>1</v>
      </c>
      <c r="AM104" s="112">
        <f>(AM$5&lt;$C$99)*IFERROR(DATEDIF('Accom_Phase Schedule'!$E67,AM$5,"y")+1,0)</f>
        <v>1</v>
      </c>
      <c r="AN104" s="112">
        <f>(AN$5&lt;$C$99)*IFERROR(DATEDIF('Accom_Phase Schedule'!$E67,AN$5,"y")+1,0)</f>
        <v>1</v>
      </c>
      <c r="AO104" s="112">
        <f>(AO$5&lt;$C$99)*IFERROR(DATEDIF('Accom_Phase Schedule'!$E67,AO$5,"y")+1,0)</f>
        <v>2</v>
      </c>
      <c r="AP104" s="112">
        <f>(AP$5&lt;$C$99)*IFERROR(DATEDIF('Accom_Phase Schedule'!$E67,AP$5,"y")+1,0)</f>
        <v>2</v>
      </c>
      <c r="AQ104" s="112">
        <f>(AQ$5&lt;$C$99)*IFERROR(DATEDIF('Accom_Phase Schedule'!$E67,AQ$5,"y")+1,0)</f>
        <v>2</v>
      </c>
      <c r="AR104" s="112">
        <f>(AR$5&lt;$C$99)*IFERROR(DATEDIF('Accom_Phase Schedule'!$E67,AR$5,"y")+1,0)</f>
        <v>2</v>
      </c>
      <c r="AS104" s="112">
        <f>(AS$5&lt;$C$99)*IFERROR(DATEDIF('Accom_Phase Schedule'!$E67,AS$5,"y")+1,0)</f>
        <v>2</v>
      </c>
      <c r="AT104" s="112">
        <f>(AT$5&lt;$C$99)*IFERROR(DATEDIF('Accom_Phase Schedule'!$E67,AT$5,"y")+1,0)</f>
        <v>2</v>
      </c>
      <c r="AU104" s="112">
        <f>(AU$5&lt;$C$99)*IFERROR(DATEDIF('Accom_Phase Schedule'!$E67,AU$5,"y")+1,0)</f>
        <v>2</v>
      </c>
      <c r="AV104" s="112">
        <f>(AV$5&lt;$C$99)*IFERROR(DATEDIF('Accom_Phase Schedule'!$E67,AV$5,"y")+1,0)</f>
        <v>2</v>
      </c>
      <c r="AW104" s="112">
        <f>(AW$5&lt;$C$99)*IFERROR(DATEDIF('Accom_Phase Schedule'!$E67,AW$5,"y")+1,0)</f>
        <v>2</v>
      </c>
      <c r="AX104" s="112">
        <f>(AX$5&lt;$C$99)*IFERROR(DATEDIF('Accom_Phase Schedule'!$E67,AX$5,"y")+1,0)</f>
        <v>2</v>
      </c>
      <c r="AY104" s="112">
        <f>(AY$5&lt;$C$99)*IFERROR(DATEDIF('Accom_Phase Schedule'!$E67,AY$5,"y")+1,0)</f>
        <v>2</v>
      </c>
      <c r="AZ104" s="112">
        <f>(AZ$5&lt;$C$99)*IFERROR(DATEDIF('Accom_Phase Schedule'!$E67,AZ$5,"y")+1,0)</f>
        <v>2</v>
      </c>
      <c r="BA104" s="112">
        <f>(BA$5&lt;$C$99)*IFERROR(DATEDIF('Accom_Phase Schedule'!$E67,BA$5,"y")+1,0)</f>
        <v>0</v>
      </c>
      <c r="BB104" s="112">
        <f>(BB$5&lt;$C$99)*IFERROR(DATEDIF('Accom_Phase Schedule'!$E67,BB$5,"y")+1,0)</f>
        <v>0</v>
      </c>
      <c r="BC104" s="113">
        <f>(BC$5&lt;$C$99)*IFERROR(DATEDIF('Accom_Phase Schedule'!$E67,BC$5,"y")+1,0)</f>
        <v>0</v>
      </c>
    </row>
    <row r="105" spans="2:55" x14ac:dyDescent="0.25">
      <c r="B105" s="5" t="s">
        <v>75</v>
      </c>
      <c r="C105" s="48">
        <f>ROUNDUP(E105*'Accom_Phase Schedule'!$D$45,0)</f>
        <v>10</v>
      </c>
      <c r="D105" s="5" t="s">
        <v>72</v>
      </c>
      <c r="E105" s="7">
        <v>0.02</v>
      </c>
      <c r="H105" s="106" t="s">
        <v>102</v>
      </c>
      <c r="I105" s="107"/>
      <c r="J105" s="108"/>
      <c r="K105" s="112">
        <f>(K$5&lt;$C$99)*IFERROR(DATEDIF('Accom_Phase Schedule'!$E68,K$5,"y")+1,0)</f>
        <v>0</v>
      </c>
      <c r="L105" s="112">
        <f>(L$5&lt;$C$99)*IFERROR(DATEDIF('Accom_Phase Schedule'!$E68,L$5,"y")+1,0)</f>
        <v>0</v>
      </c>
      <c r="M105" s="112">
        <f>(M$5&lt;$C$99)*IFERROR(DATEDIF('Accom_Phase Schedule'!$E68,M$5,"y")+1,0)</f>
        <v>0</v>
      </c>
      <c r="N105" s="112">
        <f>(N$5&lt;$C$99)*IFERROR(DATEDIF('Accom_Phase Schedule'!$E68,N$5,"y")+1,0)</f>
        <v>0</v>
      </c>
      <c r="O105" s="112">
        <f>(O$5&lt;$C$99)*IFERROR(DATEDIF('Accom_Phase Schedule'!$E68,O$5,"y")+1,0)</f>
        <v>0</v>
      </c>
      <c r="P105" s="112">
        <f>(P$5&lt;$C$99)*IFERROR(DATEDIF('Accom_Phase Schedule'!$E68,P$5,"y")+1,0)</f>
        <v>0</v>
      </c>
      <c r="Q105" s="112">
        <f>(Q$5&lt;$C$99)*IFERROR(DATEDIF('Accom_Phase Schedule'!$E68,Q$5,"y")+1,0)</f>
        <v>0</v>
      </c>
      <c r="R105" s="112">
        <f>(R$5&lt;$C$99)*IFERROR(DATEDIF('Accom_Phase Schedule'!$E68,R$5,"y")+1,0)</f>
        <v>0</v>
      </c>
      <c r="S105" s="112">
        <f>(S$5&lt;$C$99)*IFERROR(DATEDIF('Accom_Phase Schedule'!$E68,S$5,"y")+1,0)</f>
        <v>0</v>
      </c>
      <c r="T105" s="112">
        <f>(T$5&lt;$C$99)*IFERROR(DATEDIF('Accom_Phase Schedule'!$E68,T$5,"y")+1,0)</f>
        <v>0</v>
      </c>
      <c r="U105" s="112">
        <f>(U$5&lt;$C$99)*IFERROR(DATEDIF('Accom_Phase Schedule'!$E68,U$5,"y")+1,0)</f>
        <v>0</v>
      </c>
      <c r="V105" s="112">
        <f>(V$5&lt;$C$99)*IFERROR(DATEDIF('Accom_Phase Schedule'!$E68,V$5,"y")+1,0)</f>
        <v>0</v>
      </c>
      <c r="W105" s="112">
        <f>(W$5&lt;$C$99)*IFERROR(DATEDIF('Accom_Phase Schedule'!$E68,W$5,"y")+1,0)</f>
        <v>0</v>
      </c>
      <c r="X105" s="112">
        <f>(X$5&lt;$C$99)*IFERROR(DATEDIF('Accom_Phase Schedule'!$E68,X$5,"y")+1,0)</f>
        <v>0</v>
      </c>
      <c r="Y105" s="112">
        <f>(Y$5&lt;$C$99)*IFERROR(DATEDIF('Accom_Phase Schedule'!$E68,Y$5,"y")+1,0)</f>
        <v>0</v>
      </c>
      <c r="Z105" s="112">
        <f>(Z$5&lt;$C$99)*IFERROR(DATEDIF('Accom_Phase Schedule'!$E68,Z$5,"y")+1,0)</f>
        <v>0</v>
      </c>
      <c r="AA105" s="112">
        <f>(AA$5&lt;$C$99)*IFERROR(DATEDIF('Accom_Phase Schedule'!$E68,AA$5,"y")+1,0)</f>
        <v>0</v>
      </c>
      <c r="AB105" s="112">
        <f>(AB$5&lt;$C$99)*IFERROR(DATEDIF('Accom_Phase Schedule'!$E68,AB$5,"y")+1,0)</f>
        <v>0</v>
      </c>
      <c r="AC105" s="112">
        <f>(AC$5&lt;$C$99)*IFERROR(DATEDIF('Accom_Phase Schedule'!$E68,AC$5,"y")+1,0)</f>
        <v>0</v>
      </c>
      <c r="AD105" s="112">
        <f>(AD$5&lt;$C$99)*IFERROR(DATEDIF('Accom_Phase Schedule'!$E68,AD$5,"y")+1,0)</f>
        <v>0</v>
      </c>
      <c r="AE105" s="112">
        <f>(AE$5&lt;$C$99)*IFERROR(DATEDIF('Accom_Phase Schedule'!$E68,AE$5,"y")+1,0)</f>
        <v>0</v>
      </c>
      <c r="AF105" s="112">
        <f>(AF$5&lt;$C$99)*IFERROR(DATEDIF('Accom_Phase Schedule'!$E68,AF$5,"y")+1,0)</f>
        <v>0</v>
      </c>
      <c r="AG105" s="112">
        <f>(AG$5&lt;$C$99)*IFERROR(DATEDIF('Accom_Phase Schedule'!$E68,AG$5,"y")+1,0)</f>
        <v>0</v>
      </c>
      <c r="AH105" s="112">
        <f>(AH$5&lt;$C$99)*IFERROR(DATEDIF('Accom_Phase Schedule'!$E68,AH$5,"y")+1,0)</f>
        <v>0</v>
      </c>
      <c r="AI105" s="112">
        <f>(AI$5&lt;$C$99)*IFERROR(DATEDIF('Accom_Phase Schedule'!$E68,AI$5,"y")+1,0)</f>
        <v>1</v>
      </c>
      <c r="AJ105" s="112">
        <f>(AJ$5&lt;$C$99)*IFERROR(DATEDIF('Accom_Phase Schedule'!$E68,AJ$5,"y")+1,0)</f>
        <v>1</v>
      </c>
      <c r="AK105" s="112">
        <f>(AK$5&lt;$C$99)*IFERROR(DATEDIF('Accom_Phase Schedule'!$E68,AK$5,"y")+1,0)</f>
        <v>1</v>
      </c>
      <c r="AL105" s="112">
        <f>(AL$5&lt;$C$99)*IFERROR(DATEDIF('Accom_Phase Schedule'!$E68,AL$5,"y")+1,0)</f>
        <v>1</v>
      </c>
      <c r="AM105" s="112">
        <f>(AM$5&lt;$C$99)*IFERROR(DATEDIF('Accom_Phase Schedule'!$E68,AM$5,"y")+1,0)</f>
        <v>1</v>
      </c>
      <c r="AN105" s="112">
        <f>(AN$5&lt;$C$99)*IFERROR(DATEDIF('Accom_Phase Schedule'!$E68,AN$5,"y")+1,0)</f>
        <v>1</v>
      </c>
      <c r="AO105" s="112">
        <f>(AO$5&lt;$C$99)*IFERROR(DATEDIF('Accom_Phase Schedule'!$E68,AO$5,"y")+1,0)</f>
        <v>1</v>
      </c>
      <c r="AP105" s="112">
        <f>(AP$5&lt;$C$99)*IFERROR(DATEDIF('Accom_Phase Schedule'!$E68,AP$5,"y")+1,0)</f>
        <v>1</v>
      </c>
      <c r="AQ105" s="112">
        <f>(AQ$5&lt;$C$99)*IFERROR(DATEDIF('Accom_Phase Schedule'!$E68,AQ$5,"y")+1,0)</f>
        <v>1</v>
      </c>
      <c r="AR105" s="112">
        <f>(AR$5&lt;$C$99)*IFERROR(DATEDIF('Accom_Phase Schedule'!$E68,AR$5,"y")+1,0)</f>
        <v>1</v>
      </c>
      <c r="AS105" s="112">
        <f>(AS$5&lt;$C$99)*IFERROR(DATEDIF('Accom_Phase Schedule'!$E68,AS$5,"y")+1,0)</f>
        <v>1</v>
      </c>
      <c r="AT105" s="112">
        <f>(AT$5&lt;$C$99)*IFERROR(DATEDIF('Accom_Phase Schedule'!$E68,AT$5,"y")+1,0)</f>
        <v>1</v>
      </c>
      <c r="AU105" s="112">
        <f>(AU$5&lt;$C$99)*IFERROR(DATEDIF('Accom_Phase Schedule'!$E68,AU$5,"y")+1,0)</f>
        <v>2</v>
      </c>
      <c r="AV105" s="112">
        <f>(AV$5&lt;$C$99)*IFERROR(DATEDIF('Accom_Phase Schedule'!$E68,AV$5,"y")+1,0)</f>
        <v>2</v>
      </c>
      <c r="AW105" s="112">
        <f>(AW$5&lt;$C$99)*IFERROR(DATEDIF('Accom_Phase Schedule'!$E68,AW$5,"y")+1,0)</f>
        <v>2</v>
      </c>
      <c r="AX105" s="112">
        <f>(AX$5&lt;$C$99)*IFERROR(DATEDIF('Accom_Phase Schedule'!$E68,AX$5,"y")+1,0)</f>
        <v>2</v>
      </c>
      <c r="AY105" s="112">
        <f>(AY$5&lt;$C$99)*IFERROR(DATEDIF('Accom_Phase Schedule'!$E68,AY$5,"y")+1,0)</f>
        <v>2</v>
      </c>
      <c r="AZ105" s="112">
        <f>(AZ$5&lt;$C$99)*IFERROR(DATEDIF('Accom_Phase Schedule'!$E68,AZ$5,"y")+1,0)</f>
        <v>2</v>
      </c>
      <c r="BA105" s="112">
        <f>(BA$5&lt;$C$99)*IFERROR(DATEDIF('Accom_Phase Schedule'!$E68,BA$5,"y")+1,0)</f>
        <v>0</v>
      </c>
      <c r="BB105" s="112">
        <f>(BB$5&lt;$C$99)*IFERROR(DATEDIF('Accom_Phase Schedule'!$E68,BB$5,"y")+1,0)</f>
        <v>0</v>
      </c>
      <c r="BC105" s="113">
        <f>(BC$5&lt;$C$99)*IFERROR(DATEDIF('Accom_Phase Schedule'!$E68,BC$5,"y")+1,0)</f>
        <v>0</v>
      </c>
    </row>
    <row r="106" spans="2:55" x14ac:dyDescent="0.25">
      <c r="B106" s="5" t="s">
        <v>161</v>
      </c>
      <c r="C106" s="7">
        <v>3.5000000000000003E-2</v>
      </c>
      <c r="D106" s="5" t="s">
        <v>72</v>
      </c>
      <c r="E106" s="5"/>
      <c r="H106" s="106" t="s">
        <v>103</v>
      </c>
      <c r="I106" s="107"/>
      <c r="J106" s="108"/>
      <c r="K106" s="112">
        <f>(K$5&lt;$C$99)*IFERROR(DATEDIF('Accom_Phase Schedule'!$E69,K$5,"y")+1,0)</f>
        <v>0</v>
      </c>
      <c r="L106" s="112">
        <f>(L$5&lt;$C$99)*IFERROR(DATEDIF('Accom_Phase Schedule'!$E69,L$5,"y")+1,0)</f>
        <v>0</v>
      </c>
      <c r="M106" s="112">
        <f>(M$5&lt;$C$99)*IFERROR(DATEDIF('Accom_Phase Schedule'!$E69,M$5,"y")+1,0)</f>
        <v>0</v>
      </c>
      <c r="N106" s="112">
        <f>(N$5&lt;$C$99)*IFERROR(DATEDIF('Accom_Phase Schedule'!$E69,N$5,"y")+1,0)</f>
        <v>0</v>
      </c>
      <c r="O106" s="112">
        <f>(O$5&lt;$C$99)*IFERROR(DATEDIF('Accom_Phase Schedule'!$E69,O$5,"y")+1,0)</f>
        <v>0</v>
      </c>
      <c r="P106" s="112">
        <f>(P$5&lt;$C$99)*IFERROR(DATEDIF('Accom_Phase Schedule'!$E69,P$5,"y")+1,0)</f>
        <v>0</v>
      </c>
      <c r="Q106" s="112">
        <f>(Q$5&lt;$C$99)*IFERROR(DATEDIF('Accom_Phase Schedule'!$E69,Q$5,"y")+1,0)</f>
        <v>0</v>
      </c>
      <c r="R106" s="112">
        <f>(R$5&lt;$C$99)*IFERROR(DATEDIF('Accom_Phase Schedule'!$E69,R$5,"y")+1,0)</f>
        <v>0</v>
      </c>
      <c r="S106" s="112">
        <f>(S$5&lt;$C$99)*IFERROR(DATEDIF('Accom_Phase Schedule'!$E69,S$5,"y")+1,0)</f>
        <v>0</v>
      </c>
      <c r="T106" s="112">
        <f>(T$5&lt;$C$99)*IFERROR(DATEDIF('Accom_Phase Schedule'!$E69,T$5,"y")+1,0)</f>
        <v>0</v>
      </c>
      <c r="U106" s="112">
        <f>(U$5&lt;$C$99)*IFERROR(DATEDIF('Accom_Phase Schedule'!$E69,U$5,"y")+1,0)</f>
        <v>0</v>
      </c>
      <c r="V106" s="112">
        <f>(V$5&lt;$C$99)*IFERROR(DATEDIF('Accom_Phase Schedule'!$E69,V$5,"y")+1,0)</f>
        <v>0</v>
      </c>
      <c r="W106" s="112">
        <f>(W$5&lt;$C$99)*IFERROR(DATEDIF('Accom_Phase Schedule'!$E69,W$5,"y")+1,0)</f>
        <v>0</v>
      </c>
      <c r="X106" s="112">
        <f>(X$5&lt;$C$99)*IFERROR(DATEDIF('Accom_Phase Schedule'!$E69,X$5,"y")+1,0)</f>
        <v>0</v>
      </c>
      <c r="Y106" s="112">
        <f>(Y$5&lt;$C$99)*IFERROR(DATEDIF('Accom_Phase Schedule'!$E69,Y$5,"y")+1,0)</f>
        <v>0</v>
      </c>
      <c r="Z106" s="112">
        <f>(Z$5&lt;$C$99)*IFERROR(DATEDIF('Accom_Phase Schedule'!$E69,Z$5,"y")+1,0)</f>
        <v>0</v>
      </c>
      <c r="AA106" s="112">
        <f>(AA$5&lt;$C$99)*IFERROR(DATEDIF('Accom_Phase Schedule'!$E69,AA$5,"y")+1,0)</f>
        <v>0</v>
      </c>
      <c r="AB106" s="112">
        <f>(AB$5&lt;$C$99)*IFERROR(DATEDIF('Accom_Phase Schedule'!$E69,AB$5,"y")+1,0)</f>
        <v>0</v>
      </c>
      <c r="AC106" s="112">
        <f>(AC$5&lt;$C$99)*IFERROR(DATEDIF('Accom_Phase Schedule'!$E69,AC$5,"y")+1,0)</f>
        <v>0</v>
      </c>
      <c r="AD106" s="112">
        <f>(AD$5&lt;$C$99)*IFERROR(DATEDIF('Accom_Phase Schedule'!$E69,AD$5,"y")+1,0)</f>
        <v>0</v>
      </c>
      <c r="AE106" s="112">
        <f>(AE$5&lt;$C$99)*IFERROR(DATEDIF('Accom_Phase Schedule'!$E69,AE$5,"y")+1,0)</f>
        <v>0</v>
      </c>
      <c r="AF106" s="112">
        <f>(AF$5&lt;$C$99)*IFERROR(DATEDIF('Accom_Phase Schedule'!$E69,AF$5,"y")+1,0)</f>
        <v>0</v>
      </c>
      <c r="AG106" s="112">
        <f>(AG$5&lt;$C$99)*IFERROR(DATEDIF('Accom_Phase Schedule'!$E69,AG$5,"y")+1,0)</f>
        <v>0</v>
      </c>
      <c r="AH106" s="112">
        <f>(AH$5&lt;$C$99)*IFERROR(DATEDIF('Accom_Phase Schedule'!$E69,AH$5,"y")+1,0)</f>
        <v>0</v>
      </c>
      <c r="AI106" s="112">
        <f>(AI$5&lt;$C$99)*IFERROR(DATEDIF('Accom_Phase Schedule'!$E69,AI$5,"y")+1,0)</f>
        <v>0</v>
      </c>
      <c r="AJ106" s="112">
        <f>(AJ$5&lt;$C$99)*IFERROR(DATEDIF('Accom_Phase Schedule'!$E69,AJ$5,"y")+1,0)</f>
        <v>0</v>
      </c>
      <c r="AK106" s="112">
        <f>(AK$5&lt;$C$99)*IFERROR(DATEDIF('Accom_Phase Schedule'!$E69,AK$5,"y")+1,0)</f>
        <v>0</v>
      </c>
      <c r="AL106" s="112">
        <f>(AL$5&lt;$C$99)*IFERROR(DATEDIF('Accom_Phase Schedule'!$E69,AL$5,"y")+1,0)</f>
        <v>0</v>
      </c>
      <c r="AM106" s="112">
        <f>(AM$5&lt;$C$99)*IFERROR(DATEDIF('Accom_Phase Schedule'!$E69,AM$5,"y")+1,0)</f>
        <v>0</v>
      </c>
      <c r="AN106" s="112">
        <f>(AN$5&lt;$C$99)*IFERROR(DATEDIF('Accom_Phase Schedule'!$E69,AN$5,"y")+1,0)</f>
        <v>0</v>
      </c>
      <c r="AO106" s="112">
        <f>(AO$5&lt;$C$99)*IFERROR(DATEDIF('Accom_Phase Schedule'!$E69,AO$5,"y")+1,0)</f>
        <v>1</v>
      </c>
      <c r="AP106" s="112">
        <f>(AP$5&lt;$C$99)*IFERROR(DATEDIF('Accom_Phase Schedule'!$E69,AP$5,"y")+1,0)</f>
        <v>1</v>
      </c>
      <c r="AQ106" s="112">
        <f>(AQ$5&lt;$C$99)*IFERROR(DATEDIF('Accom_Phase Schedule'!$E69,AQ$5,"y")+1,0)</f>
        <v>1</v>
      </c>
      <c r="AR106" s="112">
        <f>(AR$5&lt;$C$99)*IFERROR(DATEDIF('Accom_Phase Schedule'!$E69,AR$5,"y")+1,0)</f>
        <v>1</v>
      </c>
      <c r="AS106" s="112">
        <f>(AS$5&lt;$C$99)*IFERROR(DATEDIF('Accom_Phase Schedule'!$E69,AS$5,"y")+1,0)</f>
        <v>1</v>
      </c>
      <c r="AT106" s="112">
        <f>(AT$5&lt;$C$99)*IFERROR(DATEDIF('Accom_Phase Schedule'!$E69,AT$5,"y")+1,0)</f>
        <v>1</v>
      </c>
      <c r="AU106" s="112">
        <f>(AU$5&lt;$C$99)*IFERROR(DATEDIF('Accom_Phase Schedule'!$E69,AU$5,"y")+1,0)</f>
        <v>1</v>
      </c>
      <c r="AV106" s="112">
        <f>(AV$5&lt;$C$99)*IFERROR(DATEDIF('Accom_Phase Schedule'!$E69,AV$5,"y")+1,0)</f>
        <v>1</v>
      </c>
      <c r="AW106" s="112">
        <f>(AW$5&lt;$C$99)*IFERROR(DATEDIF('Accom_Phase Schedule'!$E69,AW$5,"y")+1,0)</f>
        <v>1</v>
      </c>
      <c r="AX106" s="112">
        <f>(AX$5&lt;$C$99)*IFERROR(DATEDIF('Accom_Phase Schedule'!$E69,AX$5,"y")+1,0)</f>
        <v>1</v>
      </c>
      <c r="AY106" s="112">
        <f>(AY$5&lt;$C$99)*IFERROR(DATEDIF('Accom_Phase Schedule'!$E69,AY$5,"y")+1,0)</f>
        <v>1</v>
      </c>
      <c r="AZ106" s="112">
        <f>(AZ$5&lt;$C$99)*IFERROR(DATEDIF('Accom_Phase Schedule'!$E69,AZ$5,"y")+1,0)</f>
        <v>1</v>
      </c>
      <c r="BA106" s="112">
        <f>(BA$5&lt;$C$99)*IFERROR(DATEDIF('Accom_Phase Schedule'!$E69,BA$5,"y")+1,0)</f>
        <v>0</v>
      </c>
      <c r="BB106" s="112">
        <f>(BB$5&lt;$C$99)*IFERROR(DATEDIF('Accom_Phase Schedule'!$E69,BB$5,"y")+1,0)</f>
        <v>0</v>
      </c>
      <c r="BC106" s="113">
        <f>(BC$5&lt;$C$99)*IFERROR(DATEDIF('Accom_Phase Schedule'!$E69,BC$5,"y")+1,0)</f>
        <v>0</v>
      </c>
    </row>
    <row r="107" spans="2:55" x14ac:dyDescent="0.25">
      <c r="B107" s="8"/>
      <c r="C107" s="8"/>
      <c r="D107" s="8"/>
      <c r="E107" s="8"/>
      <c r="H107" s="106"/>
      <c r="I107" s="107"/>
      <c r="J107" s="108"/>
      <c r="K107" s="109"/>
      <c r="L107" s="109"/>
      <c r="M107" s="109"/>
      <c r="N107" s="109"/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09"/>
      <c r="AK107" s="109"/>
      <c r="AL107" s="109"/>
      <c r="AM107" s="109"/>
      <c r="AN107" s="109"/>
      <c r="AO107" s="109"/>
      <c r="AP107" s="109"/>
      <c r="AQ107" s="109"/>
      <c r="AR107" s="109"/>
      <c r="AS107" s="109"/>
      <c r="AT107" s="109"/>
      <c r="AU107" s="109"/>
      <c r="AV107" s="109"/>
      <c r="AW107" s="109"/>
      <c r="AX107" s="109"/>
      <c r="AY107" s="109"/>
      <c r="AZ107" s="109"/>
      <c r="BA107" s="109"/>
      <c r="BB107" s="109"/>
      <c r="BC107" s="110"/>
    </row>
    <row r="108" spans="2:55" x14ac:dyDescent="0.25">
      <c r="H108" s="106" t="s">
        <v>104</v>
      </c>
      <c r="I108" s="107"/>
      <c r="J108" s="108"/>
      <c r="K108" s="109">
        <f t="shared" ref="K108:BC108" si="50">(K$5&lt;$C$99)*IF(K102&gt;J102,K$99,J108)</f>
        <v>0</v>
      </c>
      <c r="L108" s="109">
        <f t="shared" si="50"/>
        <v>0</v>
      </c>
      <c r="M108" s="109">
        <f t="shared" si="50"/>
        <v>0</v>
      </c>
      <c r="N108" s="109">
        <f t="shared" si="50"/>
        <v>0</v>
      </c>
      <c r="O108" s="109">
        <f t="shared" si="50"/>
        <v>0</v>
      </c>
      <c r="P108" s="109">
        <f t="shared" si="50"/>
        <v>0</v>
      </c>
      <c r="Q108" s="109">
        <f t="shared" si="50"/>
        <v>0</v>
      </c>
      <c r="R108" s="109">
        <f t="shared" si="50"/>
        <v>0</v>
      </c>
      <c r="S108" s="109">
        <f t="shared" si="50"/>
        <v>1</v>
      </c>
      <c r="T108" s="109">
        <f t="shared" si="50"/>
        <v>1</v>
      </c>
      <c r="U108" s="109">
        <f t="shared" si="50"/>
        <v>1</v>
      </c>
      <c r="V108" s="109">
        <f t="shared" si="50"/>
        <v>1</v>
      </c>
      <c r="W108" s="109">
        <f t="shared" si="50"/>
        <v>1</v>
      </c>
      <c r="X108" s="109">
        <f t="shared" si="50"/>
        <v>1</v>
      </c>
      <c r="Y108" s="109">
        <f t="shared" si="50"/>
        <v>1</v>
      </c>
      <c r="Z108" s="109">
        <f t="shared" si="50"/>
        <v>1</v>
      </c>
      <c r="AA108" s="109">
        <f t="shared" si="50"/>
        <v>1</v>
      </c>
      <c r="AB108" s="109">
        <f t="shared" si="50"/>
        <v>1</v>
      </c>
      <c r="AC108" s="109">
        <f t="shared" si="50"/>
        <v>1</v>
      </c>
      <c r="AD108" s="109">
        <f t="shared" si="50"/>
        <v>1</v>
      </c>
      <c r="AE108" s="109">
        <f t="shared" si="50"/>
        <v>1.03</v>
      </c>
      <c r="AF108" s="109">
        <f t="shared" si="50"/>
        <v>1.03</v>
      </c>
      <c r="AG108" s="109">
        <f t="shared" si="50"/>
        <v>1.03</v>
      </c>
      <c r="AH108" s="109">
        <f t="shared" si="50"/>
        <v>1.03</v>
      </c>
      <c r="AI108" s="109">
        <f t="shared" si="50"/>
        <v>1.03</v>
      </c>
      <c r="AJ108" s="109">
        <f t="shared" si="50"/>
        <v>1.03</v>
      </c>
      <c r="AK108" s="109">
        <f t="shared" si="50"/>
        <v>1.03</v>
      </c>
      <c r="AL108" s="109">
        <f t="shared" si="50"/>
        <v>1.03</v>
      </c>
      <c r="AM108" s="109">
        <f t="shared" si="50"/>
        <v>1.03</v>
      </c>
      <c r="AN108" s="109">
        <f t="shared" si="50"/>
        <v>1.03</v>
      </c>
      <c r="AO108" s="109">
        <f t="shared" si="50"/>
        <v>1.03</v>
      </c>
      <c r="AP108" s="109">
        <f t="shared" si="50"/>
        <v>1.03</v>
      </c>
      <c r="AQ108" s="109">
        <f t="shared" si="50"/>
        <v>1.06</v>
      </c>
      <c r="AR108" s="109">
        <f t="shared" si="50"/>
        <v>1.06</v>
      </c>
      <c r="AS108" s="109">
        <f t="shared" si="50"/>
        <v>1.06</v>
      </c>
      <c r="AT108" s="109">
        <f t="shared" si="50"/>
        <v>1.06</v>
      </c>
      <c r="AU108" s="109">
        <f t="shared" si="50"/>
        <v>1.06</v>
      </c>
      <c r="AV108" s="109">
        <f t="shared" si="50"/>
        <v>1.06</v>
      </c>
      <c r="AW108" s="109">
        <f t="shared" si="50"/>
        <v>1.06</v>
      </c>
      <c r="AX108" s="109">
        <f t="shared" si="50"/>
        <v>1.06</v>
      </c>
      <c r="AY108" s="109">
        <f t="shared" si="50"/>
        <v>1.06</v>
      </c>
      <c r="AZ108" s="109">
        <f t="shared" si="50"/>
        <v>1.06</v>
      </c>
      <c r="BA108" s="109">
        <f t="shared" si="50"/>
        <v>0</v>
      </c>
      <c r="BB108" s="109">
        <f t="shared" si="50"/>
        <v>0</v>
      </c>
      <c r="BC108" s="110">
        <f t="shared" si="50"/>
        <v>0</v>
      </c>
    </row>
    <row r="109" spans="2:55" x14ac:dyDescent="0.25">
      <c r="H109" s="106" t="s">
        <v>105</v>
      </c>
      <c r="I109" s="107"/>
      <c r="J109" s="108"/>
      <c r="K109" s="109">
        <f t="shared" ref="K109:BC109" si="51">(K$5&lt;$C$99)*IF(K103&gt;J103,K$99,J109)</f>
        <v>0</v>
      </c>
      <c r="L109" s="109">
        <f t="shared" si="51"/>
        <v>0</v>
      </c>
      <c r="M109" s="109">
        <f t="shared" si="51"/>
        <v>0</v>
      </c>
      <c r="N109" s="109">
        <f t="shared" si="51"/>
        <v>0</v>
      </c>
      <c r="O109" s="109">
        <f t="shared" si="51"/>
        <v>0</v>
      </c>
      <c r="P109" s="109">
        <f t="shared" si="51"/>
        <v>0</v>
      </c>
      <c r="Q109" s="109">
        <f t="shared" si="51"/>
        <v>0</v>
      </c>
      <c r="R109" s="109">
        <f t="shared" si="51"/>
        <v>0</v>
      </c>
      <c r="S109" s="109">
        <f t="shared" si="51"/>
        <v>0</v>
      </c>
      <c r="T109" s="109">
        <f t="shared" si="51"/>
        <v>0</v>
      </c>
      <c r="U109" s="109">
        <f t="shared" si="51"/>
        <v>0</v>
      </c>
      <c r="V109" s="109">
        <f t="shared" si="51"/>
        <v>0</v>
      </c>
      <c r="W109" s="109">
        <f t="shared" si="51"/>
        <v>0</v>
      </c>
      <c r="X109" s="109">
        <f t="shared" si="51"/>
        <v>1.03</v>
      </c>
      <c r="Y109" s="109">
        <f t="shared" si="51"/>
        <v>1.03</v>
      </c>
      <c r="Z109" s="109">
        <f t="shared" si="51"/>
        <v>1.03</v>
      </c>
      <c r="AA109" s="109">
        <f t="shared" si="51"/>
        <v>1.03</v>
      </c>
      <c r="AB109" s="109">
        <f t="shared" si="51"/>
        <v>1.03</v>
      </c>
      <c r="AC109" s="109">
        <f t="shared" si="51"/>
        <v>1.03</v>
      </c>
      <c r="AD109" s="109">
        <f t="shared" si="51"/>
        <v>1.03</v>
      </c>
      <c r="AE109" s="109">
        <f t="shared" si="51"/>
        <v>1.03</v>
      </c>
      <c r="AF109" s="109">
        <f t="shared" si="51"/>
        <v>1.03</v>
      </c>
      <c r="AG109" s="109">
        <f t="shared" si="51"/>
        <v>1.03</v>
      </c>
      <c r="AH109" s="109">
        <f t="shared" si="51"/>
        <v>1.03</v>
      </c>
      <c r="AI109" s="109">
        <f t="shared" si="51"/>
        <v>1.03</v>
      </c>
      <c r="AJ109" s="109">
        <f t="shared" si="51"/>
        <v>1.06</v>
      </c>
      <c r="AK109" s="109">
        <f t="shared" si="51"/>
        <v>1.06</v>
      </c>
      <c r="AL109" s="109">
        <f t="shared" si="51"/>
        <v>1.06</v>
      </c>
      <c r="AM109" s="109">
        <f t="shared" si="51"/>
        <v>1.06</v>
      </c>
      <c r="AN109" s="109">
        <f t="shared" si="51"/>
        <v>1.06</v>
      </c>
      <c r="AO109" s="109">
        <f t="shared" si="51"/>
        <v>1.06</v>
      </c>
      <c r="AP109" s="109">
        <f t="shared" si="51"/>
        <v>1.06</v>
      </c>
      <c r="AQ109" s="109">
        <f t="shared" si="51"/>
        <v>1.06</v>
      </c>
      <c r="AR109" s="109">
        <f t="shared" si="51"/>
        <v>1.06</v>
      </c>
      <c r="AS109" s="109">
        <f t="shared" si="51"/>
        <v>1.06</v>
      </c>
      <c r="AT109" s="109">
        <f t="shared" si="51"/>
        <v>1.06</v>
      </c>
      <c r="AU109" s="109">
        <f t="shared" si="51"/>
        <v>1.06</v>
      </c>
      <c r="AV109" s="109">
        <f t="shared" si="51"/>
        <v>1.0900000000000001</v>
      </c>
      <c r="AW109" s="109">
        <f t="shared" si="51"/>
        <v>1.0900000000000001</v>
      </c>
      <c r="AX109" s="109">
        <f t="shared" si="51"/>
        <v>1.0900000000000001</v>
      </c>
      <c r="AY109" s="109">
        <f t="shared" si="51"/>
        <v>1.0900000000000001</v>
      </c>
      <c r="AZ109" s="109">
        <f t="shared" si="51"/>
        <v>1.0900000000000001</v>
      </c>
      <c r="BA109" s="109">
        <f t="shared" si="51"/>
        <v>0</v>
      </c>
      <c r="BB109" s="109">
        <f t="shared" si="51"/>
        <v>0</v>
      </c>
      <c r="BC109" s="110">
        <f t="shared" si="51"/>
        <v>0</v>
      </c>
    </row>
    <row r="110" spans="2:55" x14ac:dyDescent="0.25">
      <c r="H110" s="106" t="s">
        <v>106</v>
      </c>
      <c r="I110" s="107"/>
      <c r="J110" s="108"/>
      <c r="K110" s="109">
        <f t="shared" ref="K110:BC110" si="52">(K$5&lt;$C$99)*IF(K104&gt;J104,K$99,J110)</f>
        <v>0</v>
      </c>
      <c r="L110" s="109">
        <f t="shared" si="52"/>
        <v>0</v>
      </c>
      <c r="M110" s="109">
        <f t="shared" si="52"/>
        <v>0</v>
      </c>
      <c r="N110" s="109">
        <f t="shared" si="52"/>
        <v>0</v>
      </c>
      <c r="O110" s="109">
        <f t="shared" si="52"/>
        <v>0</v>
      </c>
      <c r="P110" s="109">
        <f t="shared" si="52"/>
        <v>0</v>
      </c>
      <c r="Q110" s="109">
        <f t="shared" si="52"/>
        <v>0</v>
      </c>
      <c r="R110" s="109">
        <f t="shared" si="52"/>
        <v>0</v>
      </c>
      <c r="S110" s="109">
        <f t="shared" si="52"/>
        <v>0</v>
      </c>
      <c r="T110" s="109">
        <f t="shared" si="52"/>
        <v>0</v>
      </c>
      <c r="U110" s="109">
        <f t="shared" si="52"/>
        <v>0</v>
      </c>
      <c r="V110" s="109">
        <f t="shared" si="52"/>
        <v>0</v>
      </c>
      <c r="W110" s="109">
        <f t="shared" si="52"/>
        <v>0</v>
      </c>
      <c r="X110" s="109">
        <f t="shared" si="52"/>
        <v>0</v>
      </c>
      <c r="Y110" s="109">
        <f t="shared" si="52"/>
        <v>0</v>
      </c>
      <c r="Z110" s="109">
        <f t="shared" si="52"/>
        <v>0</v>
      </c>
      <c r="AA110" s="109">
        <f t="shared" si="52"/>
        <v>0</v>
      </c>
      <c r="AB110" s="109">
        <f t="shared" si="52"/>
        <v>0</v>
      </c>
      <c r="AC110" s="109">
        <f t="shared" si="52"/>
        <v>1.03</v>
      </c>
      <c r="AD110" s="109">
        <f t="shared" si="52"/>
        <v>1.03</v>
      </c>
      <c r="AE110" s="109">
        <f t="shared" si="52"/>
        <v>1.03</v>
      </c>
      <c r="AF110" s="109">
        <f t="shared" si="52"/>
        <v>1.03</v>
      </c>
      <c r="AG110" s="109">
        <f t="shared" si="52"/>
        <v>1.03</v>
      </c>
      <c r="AH110" s="109">
        <f t="shared" si="52"/>
        <v>1.03</v>
      </c>
      <c r="AI110" s="109">
        <f t="shared" si="52"/>
        <v>1.03</v>
      </c>
      <c r="AJ110" s="109">
        <f t="shared" si="52"/>
        <v>1.03</v>
      </c>
      <c r="AK110" s="109">
        <f t="shared" si="52"/>
        <v>1.03</v>
      </c>
      <c r="AL110" s="109">
        <f t="shared" si="52"/>
        <v>1.03</v>
      </c>
      <c r="AM110" s="109">
        <f t="shared" si="52"/>
        <v>1.03</v>
      </c>
      <c r="AN110" s="109">
        <f t="shared" si="52"/>
        <v>1.03</v>
      </c>
      <c r="AO110" s="109">
        <f t="shared" si="52"/>
        <v>1.06</v>
      </c>
      <c r="AP110" s="109">
        <f t="shared" si="52"/>
        <v>1.06</v>
      </c>
      <c r="AQ110" s="109">
        <f t="shared" si="52"/>
        <v>1.06</v>
      </c>
      <c r="AR110" s="109">
        <f t="shared" si="52"/>
        <v>1.06</v>
      </c>
      <c r="AS110" s="109">
        <f t="shared" si="52"/>
        <v>1.06</v>
      </c>
      <c r="AT110" s="109">
        <f t="shared" si="52"/>
        <v>1.06</v>
      </c>
      <c r="AU110" s="109">
        <f t="shared" si="52"/>
        <v>1.06</v>
      </c>
      <c r="AV110" s="109">
        <f t="shared" si="52"/>
        <v>1.06</v>
      </c>
      <c r="AW110" s="109">
        <f t="shared" si="52"/>
        <v>1.06</v>
      </c>
      <c r="AX110" s="109">
        <f t="shared" si="52"/>
        <v>1.06</v>
      </c>
      <c r="AY110" s="109">
        <f t="shared" si="52"/>
        <v>1.06</v>
      </c>
      <c r="AZ110" s="109">
        <f t="shared" si="52"/>
        <v>1.06</v>
      </c>
      <c r="BA110" s="109">
        <f t="shared" si="52"/>
        <v>0</v>
      </c>
      <c r="BB110" s="109">
        <f t="shared" si="52"/>
        <v>0</v>
      </c>
      <c r="BC110" s="110">
        <f t="shared" si="52"/>
        <v>0</v>
      </c>
    </row>
    <row r="111" spans="2:55" x14ac:dyDescent="0.25">
      <c r="H111" s="106" t="s">
        <v>107</v>
      </c>
      <c r="I111" s="107"/>
      <c r="J111" s="108"/>
      <c r="K111" s="109">
        <f t="shared" ref="K111:BC111" si="53">(K$5&lt;$C$99)*IF(K105&gt;J105,K$99,J111)</f>
        <v>0</v>
      </c>
      <c r="L111" s="109">
        <f t="shared" si="53"/>
        <v>0</v>
      </c>
      <c r="M111" s="109">
        <f t="shared" si="53"/>
        <v>0</v>
      </c>
      <c r="N111" s="109">
        <f t="shared" si="53"/>
        <v>0</v>
      </c>
      <c r="O111" s="109">
        <f t="shared" si="53"/>
        <v>0</v>
      </c>
      <c r="P111" s="109">
        <f t="shared" si="53"/>
        <v>0</v>
      </c>
      <c r="Q111" s="109">
        <f t="shared" si="53"/>
        <v>0</v>
      </c>
      <c r="R111" s="109">
        <f t="shared" si="53"/>
        <v>0</v>
      </c>
      <c r="S111" s="109">
        <f t="shared" si="53"/>
        <v>0</v>
      </c>
      <c r="T111" s="109">
        <f t="shared" si="53"/>
        <v>0</v>
      </c>
      <c r="U111" s="109">
        <f t="shared" si="53"/>
        <v>0</v>
      </c>
      <c r="V111" s="109">
        <f t="shared" si="53"/>
        <v>0</v>
      </c>
      <c r="W111" s="109">
        <f t="shared" si="53"/>
        <v>0</v>
      </c>
      <c r="X111" s="109">
        <f t="shared" si="53"/>
        <v>0</v>
      </c>
      <c r="Y111" s="109">
        <f t="shared" si="53"/>
        <v>0</v>
      </c>
      <c r="Z111" s="109">
        <f t="shared" si="53"/>
        <v>0</v>
      </c>
      <c r="AA111" s="109">
        <f t="shared" si="53"/>
        <v>0</v>
      </c>
      <c r="AB111" s="109">
        <f t="shared" si="53"/>
        <v>0</v>
      </c>
      <c r="AC111" s="109">
        <f t="shared" si="53"/>
        <v>0</v>
      </c>
      <c r="AD111" s="109">
        <f t="shared" si="53"/>
        <v>0</v>
      </c>
      <c r="AE111" s="109">
        <f t="shared" si="53"/>
        <v>0</v>
      </c>
      <c r="AF111" s="109">
        <f t="shared" si="53"/>
        <v>0</v>
      </c>
      <c r="AG111" s="109">
        <f t="shared" si="53"/>
        <v>0</v>
      </c>
      <c r="AH111" s="109">
        <f t="shared" si="53"/>
        <v>0</v>
      </c>
      <c r="AI111" s="109">
        <f t="shared" si="53"/>
        <v>1.06</v>
      </c>
      <c r="AJ111" s="109">
        <f t="shared" si="53"/>
        <v>1.06</v>
      </c>
      <c r="AK111" s="109">
        <f t="shared" si="53"/>
        <v>1.06</v>
      </c>
      <c r="AL111" s="109">
        <f t="shared" si="53"/>
        <v>1.06</v>
      </c>
      <c r="AM111" s="109">
        <f t="shared" si="53"/>
        <v>1.06</v>
      </c>
      <c r="AN111" s="109">
        <f t="shared" si="53"/>
        <v>1.06</v>
      </c>
      <c r="AO111" s="109">
        <f t="shared" si="53"/>
        <v>1.06</v>
      </c>
      <c r="AP111" s="109">
        <f t="shared" si="53"/>
        <v>1.06</v>
      </c>
      <c r="AQ111" s="109">
        <f t="shared" si="53"/>
        <v>1.06</v>
      </c>
      <c r="AR111" s="109">
        <f t="shared" si="53"/>
        <v>1.06</v>
      </c>
      <c r="AS111" s="109">
        <f t="shared" si="53"/>
        <v>1.06</v>
      </c>
      <c r="AT111" s="109">
        <f t="shared" si="53"/>
        <v>1.06</v>
      </c>
      <c r="AU111" s="109">
        <f t="shared" si="53"/>
        <v>1.06</v>
      </c>
      <c r="AV111" s="109">
        <f t="shared" si="53"/>
        <v>1.06</v>
      </c>
      <c r="AW111" s="109">
        <f t="shared" si="53"/>
        <v>1.06</v>
      </c>
      <c r="AX111" s="109">
        <f t="shared" si="53"/>
        <v>1.06</v>
      </c>
      <c r="AY111" s="109">
        <f t="shared" si="53"/>
        <v>1.06</v>
      </c>
      <c r="AZ111" s="109">
        <f t="shared" si="53"/>
        <v>1.06</v>
      </c>
      <c r="BA111" s="109">
        <f t="shared" si="53"/>
        <v>0</v>
      </c>
      <c r="BB111" s="109">
        <f t="shared" si="53"/>
        <v>0</v>
      </c>
      <c r="BC111" s="110">
        <f t="shared" si="53"/>
        <v>0</v>
      </c>
    </row>
    <row r="112" spans="2:55" x14ac:dyDescent="0.25">
      <c r="H112" s="106" t="s">
        <v>108</v>
      </c>
      <c r="I112" s="107"/>
      <c r="J112" s="108"/>
      <c r="K112" s="109">
        <f t="shared" ref="K112:BC112" si="54">(K$5&lt;$C$99)*IF(K106&gt;J106,K$99,J112)</f>
        <v>0</v>
      </c>
      <c r="L112" s="109">
        <f t="shared" si="54"/>
        <v>0</v>
      </c>
      <c r="M112" s="109">
        <f t="shared" si="54"/>
        <v>0</v>
      </c>
      <c r="N112" s="109">
        <f t="shared" si="54"/>
        <v>0</v>
      </c>
      <c r="O112" s="109">
        <f t="shared" si="54"/>
        <v>0</v>
      </c>
      <c r="P112" s="109">
        <f t="shared" si="54"/>
        <v>0</v>
      </c>
      <c r="Q112" s="109">
        <f t="shared" si="54"/>
        <v>0</v>
      </c>
      <c r="R112" s="109">
        <f t="shared" si="54"/>
        <v>0</v>
      </c>
      <c r="S112" s="109">
        <f t="shared" si="54"/>
        <v>0</v>
      </c>
      <c r="T112" s="109">
        <f t="shared" si="54"/>
        <v>0</v>
      </c>
      <c r="U112" s="109">
        <f t="shared" si="54"/>
        <v>0</v>
      </c>
      <c r="V112" s="109">
        <f t="shared" si="54"/>
        <v>0</v>
      </c>
      <c r="W112" s="109">
        <f t="shared" si="54"/>
        <v>0</v>
      </c>
      <c r="X112" s="109">
        <f t="shared" si="54"/>
        <v>0</v>
      </c>
      <c r="Y112" s="109">
        <f t="shared" si="54"/>
        <v>0</v>
      </c>
      <c r="Z112" s="109">
        <f t="shared" si="54"/>
        <v>0</v>
      </c>
      <c r="AA112" s="109">
        <f t="shared" si="54"/>
        <v>0</v>
      </c>
      <c r="AB112" s="109">
        <f t="shared" si="54"/>
        <v>0</v>
      </c>
      <c r="AC112" s="109">
        <f t="shared" si="54"/>
        <v>0</v>
      </c>
      <c r="AD112" s="109">
        <f t="shared" si="54"/>
        <v>0</v>
      </c>
      <c r="AE112" s="109">
        <f t="shared" si="54"/>
        <v>0</v>
      </c>
      <c r="AF112" s="109">
        <f t="shared" si="54"/>
        <v>0</v>
      </c>
      <c r="AG112" s="109">
        <f t="shared" si="54"/>
        <v>0</v>
      </c>
      <c r="AH112" s="109">
        <f t="shared" si="54"/>
        <v>0</v>
      </c>
      <c r="AI112" s="109">
        <f t="shared" si="54"/>
        <v>0</v>
      </c>
      <c r="AJ112" s="109">
        <f t="shared" si="54"/>
        <v>0</v>
      </c>
      <c r="AK112" s="109">
        <f t="shared" si="54"/>
        <v>0</v>
      </c>
      <c r="AL112" s="109">
        <f t="shared" si="54"/>
        <v>0</v>
      </c>
      <c r="AM112" s="109">
        <f t="shared" si="54"/>
        <v>0</v>
      </c>
      <c r="AN112" s="109">
        <f t="shared" si="54"/>
        <v>0</v>
      </c>
      <c r="AO112" s="109">
        <f t="shared" si="54"/>
        <v>1.06</v>
      </c>
      <c r="AP112" s="109">
        <f t="shared" si="54"/>
        <v>1.06</v>
      </c>
      <c r="AQ112" s="109">
        <f t="shared" si="54"/>
        <v>1.06</v>
      </c>
      <c r="AR112" s="109">
        <f t="shared" si="54"/>
        <v>1.06</v>
      </c>
      <c r="AS112" s="109">
        <f t="shared" si="54"/>
        <v>1.06</v>
      </c>
      <c r="AT112" s="109">
        <f t="shared" si="54"/>
        <v>1.06</v>
      </c>
      <c r="AU112" s="109">
        <f t="shared" si="54"/>
        <v>1.06</v>
      </c>
      <c r="AV112" s="109">
        <f t="shared" si="54"/>
        <v>1.06</v>
      </c>
      <c r="AW112" s="109">
        <f t="shared" si="54"/>
        <v>1.06</v>
      </c>
      <c r="AX112" s="109">
        <f t="shared" si="54"/>
        <v>1.06</v>
      </c>
      <c r="AY112" s="109">
        <f t="shared" si="54"/>
        <v>1.06</v>
      </c>
      <c r="AZ112" s="109">
        <f t="shared" si="54"/>
        <v>1.06</v>
      </c>
      <c r="BA112" s="109">
        <f t="shared" si="54"/>
        <v>0</v>
      </c>
      <c r="BB112" s="109">
        <f t="shared" si="54"/>
        <v>0</v>
      </c>
      <c r="BC112" s="110">
        <f t="shared" si="54"/>
        <v>0</v>
      </c>
    </row>
    <row r="113" spans="8:56" x14ac:dyDescent="0.25">
      <c r="H113" s="106"/>
      <c r="I113" s="107"/>
      <c r="J113" s="108"/>
      <c r="K113" s="109"/>
      <c r="L113" s="109"/>
      <c r="M113" s="109"/>
      <c r="N113" s="109"/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09"/>
      <c r="AK113" s="109"/>
      <c r="AL113" s="109"/>
      <c r="AM113" s="109"/>
      <c r="AN113" s="109"/>
      <c r="AO113" s="109"/>
      <c r="AP113" s="109"/>
      <c r="AQ113" s="109"/>
      <c r="AR113" s="109"/>
      <c r="AS113" s="109"/>
      <c r="AT113" s="109"/>
      <c r="AU113" s="109"/>
      <c r="AV113" s="109"/>
      <c r="AW113" s="109"/>
      <c r="AX113" s="109"/>
      <c r="AY113" s="109"/>
      <c r="AZ113" s="109"/>
      <c r="BA113" s="109"/>
      <c r="BB113" s="109"/>
      <c r="BC113" s="110"/>
    </row>
    <row r="114" spans="8:56" x14ac:dyDescent="0.25">
      <c r="H114" s="106" t="s">
        <v>121</v>
      </c>
      <c r="I114" s="107"/>
      <c r="J114" s="108"/>
      <c r="K114" s="114">
        <f>(AND(K$5&gt;='Accom_Phase Schedule'!$E65,K$5&lt;$C$99))*MIN('Accom_Phase Schedule'!$G65+J114,'Accom_Phase Schedule'!$C65-'Accom_Phase Schedule'!$H65)</f>
        <v>0</v>
      </c>
      <c r="L114" s="114">
        <f>(AND(L$5&gt;='Accom_Phase Schedule'!$E65,L$5&lt;$C$99))*MIN('Accom_Phase Schedule'!$G65+K114,'Accom_Phase Schedule'!$C65-'Accom_Phase Schedule'!$H65)</f>
        <v>0</v>
      </c>
      <c r="M114" s="114">
        <f>(AND(M$5&gt;='Accom_Phase Schedule'!$E65,M$5&lt;$C$99))*MIN('Accom_Phase Schedule'!$G65+L114,'Accom_Phase Schedule'!$C65-'Accom_Phase Schedule'!$H65)</f>
        <v>0</v>
      </c>
      <c r="N114" s="114">
        <f>(AND(N$5&gt;='Accom_Phase Schedule'!$E65,N$5&lt;$C$99))*MIN('Accom_Phase Schedule'!$G65+M114,'Accom_Phase Schedule'!$C65-'Accom_Phase Schedule'!$H65)</f>
        <v>0</v>
      </c>
      <c r="O114" s="114">
        <f>(AND(O$5&gt;='Accom_Phase Schedule'!$E65,O$5&lt;$C$99))*MIN('Accom_Phase Schedule'!$G65+N114,'Accom_Phase Schedule'!$C65-'Accom_Phase Schedule'!$H65)</f>
        <v>0</v>
      </c>
      <c r="P114" s="114">
        <f>(AND(P$5&gt;='Accom_Phase Schedule'!$E65,P$5&lt;$C$99))*MIN('Accom_Phase Schedule'!$G65+O114,'Accom_Phase Schedule'!$C65-'Accom_Phase Schedule'!$H65)</f>
        <v>0</v>
      </c>
      <c r="Q114" s="114">
        <f>(AND(Q$5&gt;='Accom_Phase Schedule'!$E65,Q$5&lt;$C$99))*MIN('Accom_Phase Schedule'!$G65+P114,'Accom_Phase Schedule'!$C65-'Accom_Phase Schedule'!$H65)</f>
        <v>0</v>
      </c>
      <c r="R114" s="114">
        <f>(AND(R$5&gt;='Accom_Phase Schedule'!$E65,R$5&lt;$C$99))*MIN('Accom_Phase Schedule'!$G65+Q114,'Accom_Phase Schedule'!$C65-'Accom_Phase Schedule'!$H65)</f>
        <v>0</v>
      </c>
      <c r="S114" s="114">
        <f>(AND(S$5&gt;='Accom_Phase Schedule'!$E65,S$5&lt;$C$99))*MIN('Accom_Phase Schedule'!$G65+R114,'Accom_Phase Schedule'!$C65-'Accom_Phase Schedule'!$H65)</f>
        <v>23</v>
      </c>
      <c r="T114" s="114">
        <f>(AND(T$5&gt;='Accom_Phase Schedule'!$E65,T$5&lt;$C$99))*MIN('Accom_Phase Schedule'!$G65+S114,'Accom_Phase Schedule'!$C65-'Accom_Phase Schedule'!$H65)</f>
        <v>46</v>
      </c>
      <c r="U114" s="114">
        <f>(AND(U$5&gt;='Accom_Phase Schedule'!$E65,U$5&lt;$C$99))*MIN('Accom_Phase Schedule'!$G65+T114,'Accom_Phase Schedule'!$C65-'Accom_Phase Schedule'!$H65)</f>
        <v>69</v>
      </c>
      <c r="V114" s="114">
        <f>(AND(V$5&gt;='Accom_Phase Schedule'!$E65,V$5&lt;$C$99))*MIN('Accom_Phase Schedule'!$G65+U114,'Accom_Phase Schedule'!$C65-'Accom_Phase Schedule'!$H65)</f>
        <v>88</v>
      </c>
      <c r="W114" s="114">
        <f>(AND(W$5&gt;='Accom_Phase Schedule'!$E65,W$5&lt;$C$99))*MIN('Accom_Phase Schedule'!$G65+V114,'Accom_Phase Schedule'!$C65-'Accom_Phase Schedule'!$H65)</f>
        <v>88</v>
      </c>
      <c r="X114" s="114">
        <f>(AND(X$5&gt;='Accom_Phase Schedule'!$E65,X$5&lt;$C$99))*MIN('Accom_Phase Schedule'!$G65+W114,'Accom_Phase Schedule'!$C65-'Accom_Phase Schedule'!$H65)</f>
        <v>88</v>
      </c>
      <c r="Y114" s="114">
        <f>(AND(Y$5&gt;='Accom_Phase Schedule'!$E65,Y$5&lt;$C$99))*MIN('Accom_Phase Schedule'!$G65+X114,'Accom_Phase Schedule'!$C65-'Accom_Phase Schedule'!$H65)</f>
        <v>88</v>
      </c>
      <c r="Z114" s="114">
        <f>(AND(Z$5&gt;='Accom_Phase Schedule'!$E65,Z$5&lt;$C$99))*MIN('Accom_Phase Schedule'!$G65+Y114,'Accom_Phase Schedule'!$C65-'Accom_Phase Schedule'!$H65)</f>
        <v>88</v>
      </c>
      <c r="AA114" s="114">
        <f>(AND(AA$5&gt;='Accom_Phase Schedule'!$E65,AA$5&lt;$C$99))*MIN('Accom_Phase Schedule'!$G65+Z114,'Accom_Phase Schedule'!$C65-'Accom_Phase Schedule'!$H65)</f>
        <v>88</v>
      </c>
      <c r="AB114" s="114">
        <f>(AND(AB$5&gt;='Accom_Phase Schedule'!$E65,AB$5&lt;$C$99))*MIN('Accom_Phase Schedule'!$G65+AA114,'Accom_Phase Schedule'!$C65-'Accom_Phase Schedule'!$H65)</f>
        <v>88</v>
      </c>
      <c r="AC114" s="114">
        <f>(AND(AC$5&gt;='Accom_Phase Schedule'!$E65,AC$5&lt;$C$99))*MIN('Accom_Phase Schedule'!$G65+AB114,'Accom_Phase Schedule'!$C65-'Accom_Phase Schedule'!$H65)</f>
        <v>88</v>
      </c>
      <c r="AD114" s="114">
        <f>(AND(AD$5&gt;='Accom_Phase Schedule'!$E65,AD$5&lt;$C$99))*MIN('Accom_Phase Schedule'!$G65+AC114,'Accom_Phase Schedule'!$C65-'Accom_Phase Schedule'!$H65)</f>
        <v>88</v>
      </c>
      <c r="AE114" s="114">
        <f>(AND(AE$5&gt;='Accom_Phase Schedule'!$E65,AE$5&lt;$C$99))*MIN('Accom_Phase Schedule'!$G65+AD114,'Accom_Phase Schedule'!$C65-'Accom_Phase Schedule'!$H65)</f>
        <v>88</v>
      </c>
      <c r="AF114" s="114">
        <f>(AND(AF$5&gt;='Accom_Phase Schedule'!$E65,AF$5&lt;$C$99))*MIN('Accom_Phase Schedule'!$G65+AE114,'Accom_Phase Schedule'!$C65-'Accom_Phase Schedule'!$H65)</f>
        <v>88</v>
      </c>
      <c r="AG114" s="114">
        <f>(AND(AG$5&gt;='Accom_Phase Schedule'!$E65,AG$5&lt;$C$99))*MIN('Accom_Phase Schedule'!$G65+AF114,'Accom_Phase Schedule'!$C65-'Accom_Phase Schedule'!$H65)</f>
        <v>88</v>
      </c>
      <c r="AH114" s="114">
        <f>(AND(AH$5&gt;='Accom_Phase Schedule'!$E65,AH$5&lt;$C$99))*MIN('Accom_Phase Schedule'!$G65+AG114,'Accom_Phase Schedule'!$C65-'Accom_Phase Schedule'!$H65)</f>
        <v>88</v>
      </c>
      <c r="AI114" s="114">
        <f>(AND(AI$5&gt;='Accom_Phase Schedule'!$E65,AI$5&lt;$C$99))*MIN('Accom_Phase Schedule'!$G65+AH114,'Accom_Phase Schedule'!$C65-'Accom_Phase Schedule'!$H65)</f>
        <v>88</v>
      </c>
      <c r="AJ114" s="114">
        <f>(AND(AJ$5&gt;='Accom_Phase Schedule'!$E65,AJ$5&lt;$C$99))*MIN('Accom_Phase Schedule'!$G65+AI114,'Accom_Phase Schedule'!$C65-'Accom_Phase Schedule'!$H65)</f>
        <v>88</v>
      </c>
      <c r="AK114" s="114">
        <f>(AND(AK$5&gt;='Accom_Phase Schedule'!$E65,AK$5&lt;$C$99))*MIN('Accom_Phase Schedule'!$G65+AJ114,'Accom_Phase Schedule'!$C65-'Accom_Phase Schedule'!$H65)</f>
        <v>88</v>
      </c>
      <c r="AL114" s="114">
        <f>(AND(AL$5&gt;='Accom_Phase Schedule'!$E65,AL$5&lt;$C$99))*MIN('Accom_Phase Schedule'!$G65+AK114,'Accom_Phase Schedule'!$C65-'Accom_Phase Schedule'!$H65)</f>
        <v>88</v>
      </c>
      <c r="AM114" s="114">
        <f>(AND(AM$5&gt;='Accom_Phase Schedule'!$E65,AM$5&lt;$C$99))*MIN('Accom_Phase Schedule'!$G65+AL114,'Accom_Phase Schedule'!$C65-'Accom_Phase Schedule'!$H65)</f>
        <v>88</v>
      </c>
      <c r="AN114" s="114">
        <f>(AND(AN$5&gt;='Accom_Phase Schedule'!$E65,AN$5&lt;$C$99))*MIN('Accom_Phase Schedule'!$G65+AM114,'Accom_Phase Schedule'!$C65-'Accom_Phase Schedule'!$H65)</f>
        <v>88</v>
      </c>
      <c r="AO114" s="114">
        <f>(AND(AO$5&gt;='Accom_Phase Schedule'!$E65,AO$5&lt;$C$99))*MIN('Accom_Phase Schedule'!$G65+AN114,'Accom_Phase Schedule'!$C65-'Accom_Phase Schedule'!$H65)</f>
        <v>88</v>
      </c>
      <c r="AP114" s="114">
        <f>(AND(AP$5&gt;='Accom_Phase Schedule'!$E65,AP$5&lt;$C$99))*MIN('Accom_Phase Schedule'!$G65+AO114,'Accom_Phase Schedule'!$C65-'Accom_Phase Schedule'!$H65)</f>
        <v>88</v>
      </c>
      <c r="AQ114" s="114">
        <f>(AND(AQ$5&gt;='Accom_Phase Schedule'!$E65,AQ$5&lt;$C$99))*MIN('Accom_Phase Schedule'!$G65+AP114,'Accom_Phase Schedule'!$C65-'Accom_Phase Schedule'!$H65)</f>
        <v>88</v>
      </c>
      <c r="AR114" s="114">
        <f>(AND(AR$5&gt;='Accom_Phase Schedule'!$E65,AR$5&lt;$C$99))*MIN('Accom_Phase Schedule'!$G65+AQ114,'Accom_Phase Schedule'!$C65-'Accom_Phase Schedule'!$H65)</f>
        <v>88</v>
      </c>
      <c r="AS114" s="114">
        <f>(AND(AS$5&gt;='Accom_Phase Schedule'!$E65,AS$5&lt;$C$99))*MIN('Accom_Phase Schedule'!$G65+AR114,'Accom_Phase Schedule'!$C65-'Accom_Phase Schedule'!$H65)</f>
        <v>88</v>
      </c>
      <c r="AT114" s="114">
        <f>(AND(AT$5&gt;='Accom_Phase Schedule'!$E65,AT$5&lt;$C$99))*MIN('Accom_Phase Schedule'!$G65+AS114,'Accom_Phase Schedule'!$C65-'Accom_Phase Schedule'!$H65)</f>
        <v>88</v>
      </c>
      <c r="AU114" s="114">
        <f>(AND(AU$5&gt;='Accom_Phase Schedule'!$E65,AU$5&lt;$C$99))*MIN('Accom_Phase Schedule'!$G65+AT114,'Accom_Phase Schedule'!$C65-'Accom_Phase Schedule'!$H65)</f>
        <v>88</v>
      </c>
      <c r="AV114" s="114">
        <f>(AND(AV$5&gt;='Accom_Phase Schedule'!$E65,AV$5&lt;$C$99))*MIN('Accom_Phase Schedule'!$G65+AU114,'Accom_Phase Schedule'!$C65-'Accom_Phase Schedule'!$H65)</f>
        <v>88</v>
      </c>
      <c r="AW114" s="114">
        <f>(AND(AW$5&gt;='Accom_Phase Schedule'!$E65,AW$5&lt;$C$99))*MIN('Accom_Phase Schedule'!$G65+AV114,'Accom_Phase Schedule'!$C65-'Accom_Phase Schedule'!$H65)</f>
        <v>88</v>
      </c>
      <c r="AX114" s="114">
        <f>(AND(AX$5&gt;='Accom_Phase Schedule'!$E65,AX$5&lt;$C$99))*MIN('Accom_Phase Schedule'!$G65+AW114,'Accom_Phase Schedule'!$C65-'Accom_Phase Schedule'!$H65)</f>
        <v>88</v>
      </c>
      <c r="AY114" s="114">
        <f>(AND(AY$5&gt;='Accom_Phase Schedule'!$E65,AY$5&lt;$C$99))*MIN('Accom_Phase Schedule'!$G65+AX114,'Accom_Phase Schedule'!$C65-'Accom_Phase Schedule'!$H65)</f>
        <v>88</v>
      </c>
      <c r="AZ114" s="114">
        <f>(AND(AZ$5&gt;='Accom_Phase Schedule'!$E65,AZ$5&lt;$C$99))*MIN('Accom_Phase Schedule'!$G65+AY114,'Accom_Phase Schedule'!$C65-'Accom_Phase Schedule'!$H65)</f>
        <v>88</v>
      </c>
      <c r="BA114" s="114">
        <f>(AND(BA$5&gt;='Accom_Phase Schedule'!$E65,BA$5&lt;$C$99))*MIN('Accom_Phase Schedule'!$G65+AZ114,'Accom_Phase Schedule'!$C65-'Accom_Phase Schedule'!$H65)</f>
        <v>0</v>
      </c>
      <c r="BB114" s="114">
        <f>(AND(BB$5&gt;='Accom_Phase Schedule'!$E65,BB$5&lt;$C$99))*MIN('Accom_Phase Schedule'!$G65+BA114,'Accom_Phase Schedule'!$C65-'Accom_Phase Schedule'!$H65)</f>
        <v>0</v>
      </c>
      <c r="BC114" s="115">
        <f>(AND(BC$5&gt;='Accom_Phase Schedule'!$E65,BC$5&lt;$C$99))*MIN('Accom_Phase Schedule'!$G65+BB114,'Accom_Phase Schedule'!$C65-'Accom_Phase Schedule'!$H65)</f>
        <v>0</v>
      </c>
    </row>
    <row r="115" spans="8:56" x14ac:dyDescent="0.25">
      <c r="H115" s="106" t="s">
        <v>122</v>
      </c>
      <c r="I115" s="107"/>
      <c r="J115" s="108"/>
      <c r="K115" s="114">
        <f>(AND(K$5&gt;='Accom_Phase Schedule'!$E66,K$5&lt;$C$99))*MIN('Accom_Phase Schedule'!$G66+J115,'Accom_Phase Schedule'!$C66-'Accom_Phase Schedule'!$H66)</f>
        <v>0</v>
      </c>
      <c r="L115" s="114">
        <f>(AND(L$5&gt;='Accom_Phase Schedule'!$E66,L$5&lt;$C$99))*MIN('Accom_Phase Schedule'!$G66+K115,'Accom_Phase Schedule'!$C66-'Accom_Phase Schedule'!$H66)</f>
        <v>0</v>
      </c>
      <c r="M115" s="114">
        <f>(AND(M$5&gt;='Accom_Phase Schedule'!$E66,M$5&lt;$C$99))*MIN('Accom_Phase Schedule'!$G66+L115,'Accom_Phase Schedule'!$C66-'Accom_Phase Schedule'!$H66)</f>
        <v>0</v>
      </c>
      <c r="N115" s="114">
        <f>(AND(N$5&gt;='Accom_Phase Schedule'!$E66,N$5&lt;$C$99))*MIN('Accom_Phase Schedule'!$G66+M115,'Accom_Phase Schedule'!$C66-'Accom_Phase Schedule'!$H66)</f>
        <v>0</v>
      </c>
      <c r="O115" s="114">
        <f>(AND(O$5&gt;='Accom_Phase Schedule'!$E66,O$5&lt;$C$99))*MIN('Accom_Phase Schedule'!$G66+N115,'Accom_Phase Schedule'!$C66-'Accom_Phase Schedule'!$H66)</f>
        <v>0</v>
      </c>
      <c r="P115" s="114">
        <f>(AND(P$5&gt;='Accom_Phase Schedule'!$E66,P$5&lt;$C$99))*MIN('Accom_Phase Schedule'!$G66+O115,'Accom_Phase Schedule'!$C66-'Accom_Phase Schedule'!$H66)</f>
        <v>0</v>
      </c>
      <c r="Q115" s="114">
        <f>(AND(Q$5&gt;='Accom_Phase Schedule'!$E66,Q$5&lt;$C$99))*MIN('Accom_Phase Schedule'!$G66+P115,'Accom_Phase Schedule'!$C66-'Accom_Phase Schedule'!$H66)</f>
        <v>0</v>
      </c>
      <c r="R115" s="114">
        <f>(AND(R$5&gt;='Accom_Phase Schedule'!$E66,R$5&lt;$C$99))*MIN('Accom_Phase Schedule'!$G66+Q115,'Accom_Phase Schedule'!$C66-'Accom_Phase Schedule'!$H66)</f>
        <v>0</v>
      </c>
      <c r="S115" s="114">
        <f>(AND(S$5&gt;='Accom_Phase Schedule'!$E66,S$5&lt;$C$99))*MIN('Accom_Phase Schedule'!$G66+R115,'Accom_Phase Schedule'!$C66-'Accom_Phase Schedule'!$H66)</f>
        <v>0</v>
      </c>
      <c r="T115" s="114">
        <f>(AND(T$5&gt;='Accom_Phase Schedule'!$E66,T$5&lt;$C$99))*MIN('Accom_Phase Schedule'!$G66+S115,'Accom_Phase Schedule'!$C66-'Accom_Phase Schedule'!$H66)</f>
        <v>0</v>
      </c>
      <c r="U115" s="114">
        <f>(AND(U$5&gt;='Accom_Phase Schedule'!$E66,U$5&lt;$C$99))*MIN('Accom_Phase Schedule'!$G66+T115,'Accom_Phase Schedule'!$C66-'Accom_Phase Schedule'!$H66)</f>
        <v>0</v>
      </c>
      <c r="V115" s="114">
        <f>(AND(V$5&gt;='Accom_Phase Schedule'!$E66,V$5&lt;$C$99))*MIN('Accom_Phase Schedule'!$G66+U115,'Accom_Phase Schedule'!$C66-'Accom_Phase Schedule'!$H66)</f>
        <v>0</v>
      </c>
      <c r="W115" s="114">
        <f>(AND(W$5&gt;='Accom_Phase Schedule'!$E66,W$5&lt;$C$99))*MIN('Accom_Phase Schedule'!$G66+V115,'Accom_Phase Schedule'!$C66-'Accom_Phase Schedule'!$H66)</f>
        <v>0</v>
      </c>
      <c r="X115" s="114">
        <f>(AND(X$5&gt;='Accom_Phase Schedule'!$E66,X$5&lt;$C$99))*MIN('Accom_Phase Schedule'!$G66+W115,'Accom_Phase Schedule'!$C66-'Accom_Phase Schedule'!$H66)</f>
        <v>23</v>
      </c>
      <c r="Y115" s="114">
        <f>(AND(Y$5&gt;='Accom_Phase Schedule'!$E66,Y$5&lt;$C$99))*MIN('Accom_Phase Schedule'!$G66+X115,'Accom_Phase Schedule'!$C66-'Accom_Phase Schedule'!$H66)</f>
        <v>46</v>
      </c>
      <c r="Z115" s="114">
        <f>(AND(Z$5&gt;='Accom_Phase Schedule'!$E66,Z$5&lt;$C$99))*MIN('Accom_Phase Schedule'!$G66+Y115,'Accom_Phase Schedule'!$C66-'Accom_Phase Schedule'!$H66)</f>
        <v>69</v>
      </c>
      <c r="AA115" s="114">
        <f>(AND(AA$5&gt;='Accom_Phase Schedule'!$E66,AA$5&lt;$C$99))*MIN('Accom_Phase Schedule'!$G66+Z115,'Accom_Phase Schedule'!$C66-'Accom_Phase Schedule'!$H66)</f>
        <v>88</v>
      </c>
      <c r="AB115" s="114">
        <f>(AND(AB$5&gt;='Accom_Phase Schedule'!$E66,AB$5&lt;$C$99))*MIN('Accom_Phase Schedule'!$G66+AA115,'Accom_Phase Schedule'!$C66-'Accom_Phase Schedule'!$H66)</f>
        <v>88</v>
      </c>
      <c r="AC115" s="114">
        <f>(AND(AC$5&gt;='Accom_Phase Schedule'!$E66,AC$5&lt;$C$99))*MIN('Accom_Phase Schedule'!$G66+AB115,'Accom_Phase Schedule'!$C66-'Accom_Phase Schedule'!$H66)</f>
        <v>88</v>
      </c>
      <c r="AD115" s="114">
        <f>(AND(AD$5&gt;='Accom_Phase Schedule'!$E66,AD$5&lt;$C$99))*MIN('Accom_Phase Schedule'!$G66+AC115,'Accom_Phase Schedule'!$C66-'Accom_Phase Schedule'!$H66)</f>
        <v>88</v>
      </c>
      <c r="AE115" s="114">
        <f>(AND(AE$5&gt;='Accom_Phase Schedule'!$E66,AE$5&lt;$C$99))*MIN('Accom_Phase Schedule'!$G66+AD115,'Accom_Phase Schedule'!$C66-'Accom_Phase Schedule'!$H66)</f>
        <v>88</v>
      </c>
      <c r="AF115" s="114">
        <f>(AND(AF$5&gt;='Accom_Phase Schedule'!$E66,AF$5&lt;$C$99))*MIN('Accom_Phase Schedule'!$G66+AE115,'Accom_Phase Schedule'!$C66-'Accom_Phase Schedule'!$H66)</f>
        <v>88</v>
      </c>
      <c r="AG115" s="114">
        <f>(AND(AG$5&gt;='Accom_Phase Schedule'!$E66,AG$5&lt;$C$99))*MIN('Accom_Phase Schedule'!$G66+AF115,'Accom_Phase Schedule'!$C66-'Accom_Phase Schedule'!$H66)</f>
        <v>88</v>
      </c>
      <c r="AH115" s="114">
        <f>(AND(AH$5&gt;='Accom_Phase Schedule'!$E66,AH$5&lt;$C$99))*MIN('Accom_Phase Schedule'!$G66+AG115,'Accom_Phase Schedule'!$C66-'Accom_Phase Schedule'!$H66)</f>
        <v>88</v>
      </c>
      <c r="AI115" s="114">
        <f>(AND(AI$5&gt;='Accom_Phase Schedule'!$E66,AI$5&lt;$C$99))*MIN('Accom_Phase Schedule'!$G66+AH115,'Accom_Phase Schedule'!$C66-'Accom_Phase Schedule'!$H66)</f>
        <v>88</v>
      </c>
      <c r="AJ115" s="114">
        <f>(AND(AJ$5&gt;='Accom_Phase Schedule'!$E66,AJ$5&lt;$C$99))*MIN('Accom_Phase Schedule'!$G66+AI115,'Accom_Phase Schedule'!$C66-'Accom_Phase Schedule'!$H66)</f>
        <v>88</v>
      </c>
      <c r="AK115" s="114">
        <f>(AND(AK$5&gt;='Accom_Phase Schedule'!$E66,AK$5&lt;$C$99))*MIN('Accom_Phase Schedule'!$G66+AJ115,'Accom_Phase Schedule'!$C66-'Accom_Phase Schedule'!$H66)</f>
        <v>88</v>
      </c>
      <c r="AL115" s="114">
        <f>(AND(AL$5&gt;='Accom_Phase Schedule'!$E66,AL$5&lt;$C$99))*MIN('Accom_Phase Schedule'!$G66+AK115,'Accom_Phase Schedule'!$C66-'Accom_Phase Schedule'!$H66)</f>
        <v>88</v>
      </c>
      <c r="AM115" s="114">
        <f>(AND(AM$5&gt;='Accom_Phase Schedule'!$E66,AM$5&lt;$C$99))*MIN('Accom_Phase Schedule'!$G66+AL115,'Accom_Phase Schedule'!$C66-'Accom_Phase Schedule'!$H66)</f>
        <v>88</v>
      </c>
      <c r="AN115" s="114">
        <f>(AND(AN$5&gt;='Accom_Phase Schedule'!$E66,AN$5&lt;$C$99))*MIN('Accom_Phase Schedule'!$G66+AM115,'Accom_Phase Schedule'!$C66-'Accom_Phase Schedule'!$H66)</f>
        <v>88</v>
      </c>
      <c r="AO115" s="114">
        <f>(AND(AO$5&gt;='Accom_Phase Schedule'!$E66,AO$5&lt;$C$99))*MIN('Accom_Phase Schedule'!$G66+AN115,'Accom_Phase Schedule'!$C66-'Accom_Phase Schedule'!$H66)</f>
        <v>88</v>
      </c>
      <c r="AP115" s="114">
        <f>(AND(AP$5&gt;='Accom_Phase Schedule'!$E66,AP$5&lt;$C$99))*MIN('Accom_Phase Schedule'!$G66+AO115,'Accom_Phase Schedule'!$C66-'Accom_Phase Schedule'!$H66)</f>
        <v>88</v>
      </c>
      <c r="AQ115" s="114">
        <f>(AND(AQ$5&gt;='Accom_Phase Schedule'!$E66,AQ$5&lt;$C$99))*MIN('Accom_Phase Schedule'!$G66+AP115,'Accom_Phase Schedule'!$C66-'Accom_Phase Schedule'!$H66)</f>
        <v>88</v>
      </c>
      <c r="AR115" s="114">
        <f>(AND(AR$5&gt;='Accom_Phase Schedule'!$E66,AR$5&lt;$C$99))*MIN('Accom_Phase Schedule'!$G66+AQ115,'Accom_Phase Schedule'!$C66-'Accom_Phase Schedule'!$H66)</f>
        <v>88</v>
      </c>
      <c r="AS115" s="114">
        <f>(AND(AS$5&gt;='Accom_Phase Schedule'!$E66,AS$5&lt;$C$99))*MIN('Accom_Phase Schedule'!$G66+AR115,'Accom_Phase Schedule'!$C66-'Accom_Phase Schedule'!$H66)</f>
        <v>88</v>
      </c>
      <c r="AT115" s="114">
        <f>(AND(AT$5&gt;='Accom_Phase Schedule'!$E66,AT$5&lt;$C$99))*MIN('Accom_Phase Schedule'!$G66+AS115,'Accom_Phase Schedule'!$C66-'Accom_Phase Schedule'!$H66)</f>
        <v>88</v>
      </c>
      <c r="AU115" s="114">
        <f>(AND(AU$5&gt;='Accom_Phase Schedule'!$E66,AU$5&lt;$C$99))*MIN('Accom_Phase Schedule'!$G66+AT115,'Accom_Phase Schedule'!$C66-'Accom_Phase Schedule'!$H66)</f>
        <v>88</v>
      </c>
      <c r="AV115" s="114">
        <f>(AND(AV$5&gt;='Accom_Phase Schedule'!$E66,AV$5&lt;$C$99))*MIN('Accom_Phase Schedule'!$G66+AU115,'Accom_Phase Schedule'!$C66-'Accom_Phase Schedule'!$H66)</f>
        <v>88</v>
      </c>
      <c r="AW115" s="114">
        <f>(AND(AW$5&gt;='Accom_Phase Schedule'!$E66,AW$5&lt;$C$99))*MIN('Accom_Phase Schedule'!$G66+AV115,'Accom_Phase Schedule'!$C66-'Accom_Phase Schedule'!$H66)</f>
        <v>88</v>
      </c>
      <c r="AX115" s="114">
        <f>(AND(AX$5&gt;='Accom_Phase Schedule'!$E66,AX$5&lt;$C$99))*MIN('Accom_Phase Schedule'!$G66+AW115,'Accom_Phase Schedule'!$C66-'Accom_Phase Schedule'!$H66)</f>
        <v>88</v>
      </c>
      <c r="AY115" s="114">
        <f>(AND(AY$5&gt;='Accom_Phase Schedule'!$E66,AY$5&lt;$C$99))*MIN('Accom_Phase Schedule'!$G66+AX115,'Accom_Phase Schedule'!$C66-'Accom_Phase Schedule'!$H66)</f>
        <v>88</v>
      </c>
      <c r="AZ115" s="114">
        <f>(AND(AZ$5&gt;='Accom_Phase Schedule'!$E66,AZ$5&lt;$C$99))*MIN('Accom_Phase Schedule'!$G66+AY115,'Accom_Phase Schedule'!$C66-'Accom_Phase Schedule'!$H66)</f>
        <v>88</v>
      </c>
      <c r="BA115" s="114">
        <f>(AND(BA$5&gt;='Accom_Phase Schedule'!$E66,BA$5&lt;$C$99))*MIN('Accom_Phase Schedule'!$G66+AZ115,'Accom_Phase Schedule'!$C66-'Accom_Phase Schedule'!$H66)</f>
        <v>0</v>
      </c>
      <c r="BB115" s="114">
        <f>(AND(BB$5&gt;='Accom_Phase Schedule'!$E66,BB$5&lt;$C$99))*MIN('Accom_Phase Schedule'!$G66+BA115,'Accom_Phase Schedule'!$C66-'Accom_Phase Schedule'!$H66)</f>
        <v>0</v>
      </c>
      <c r="BC115" s="115">
        <f>(AND(BC$5&gt;='Accom_Phase Schedule'!$E66,BC$5&lt;$C$99))*MIN('Accom_Phase Schedule'!$G66+BB115,'Accom_Phase Schedule'!$C66-'Accom_Phase Schedule'!$H66)</f>
        <v>0</v>
      </c>
    </row>
    <row r="116" spans="8:56" x14ac:dyDescent="0.25">
      <c r="H116" s="106" t="s">
        <v>123</v>
      </c>
      <c r="I116" s="107"/>
      <c r="J116" s="108"/>
      <c r="K116" s="114">
        <f>(AND(K$5&gt;='Accom_Phase Schedule'!$E67,K$5&lt;$C$99))*MIN('Accom_Phase Schedule'!$G67+J116,'Accom_Phase Schedule'!$C67-'Accom_Phase Schedule'!$H67)</f>
        <v>0</v>
      </c>
      <c r="L116" s="114">
        <f>(AND(L$5&gt;='Accom_Phase Schedule'!$E67,L$5&lt;$C$99))*MIN('Accom_Phase Schedule'!$G67+K116,'Accom_Phase Schedule'!$C67-'Accom_Phase Schedule'!$H67)</f>
        <v>0</v>
      </c>
      <c r="M116" s="114">
        <f>(AND(M$5&gt;='Accom_Phase Schedule'!$E67,M$5&lt;$C$99))*MIN('Accom_Phase Schedule'!$G67+L116,'Accom_Phase Schedule'!$C67-'Accom_Phase Schedule'!$H67)</f>
        <v>0</v>
      </c>
      <c r="N116" s="114">
        <f>(AND(N$5&gt;='Accom_Phase Schedule'!$E67,N$5&lt;$C$99))*MIN('Accom_Phase Schedule'!$G67+M116,'Accom_Phase Schedule'!$C67-'Accom_Phase Schedule'!$H67)</f>
        <v>0</v>
      </c>
      <c r="O116" s="114">
        <f>(AND(O$5&gt;='Accom_Phase Schedule'!$E67,O$5&lt;$C$99))*MIN('Accom_Phase Schedule'!$G67+N116,'Accom_Phase Schedule'!$C67-'Accom_Phase Schedule'!$H67)</f>
        <v>0</v>
      </c>
      <c r="P116" s="114">
        <f>(AND(P$5&gt;='Accom_Phase Schedule'!$E67,P$5&lt;$C$99))*MIN('Accom_Phase Schedule'!$G67+O116,'Accom_Phase Schedule'!$C67-'Accom_Phase Schedule'!$H67)</f>
        <v>0</v>
      </c>
      <c r="Q116" s="114">
        <f>(AND(Q$5&gt;='Accom_Phase Schedule'!$E67,Q$5&lt;$C$99))*MIN('Accom_Phase Schedule'!$G67+P116,'Accom_Phase Schedule'!$C67-'Accom_Phase Schedule'!$H67)</f>
        <v>0</v>
      </c>
      <c r="R116" s="114">
        <f>(AND(R$5&gt;='Accom_Phase Schedule'!$E67,R$5&lt;$C$99))*MIN('Accom_Phase Schedule'!$G67+Q116,'Accom_Phase Schedule'!$C67-'Accom_Phase Schedule'!$H67)</f>
        <v>0</v>
      </c>
      <c r="S116" s="114">
        <f>(AND(S$5&gt;='Accom_Phase Schedule'!$E67,S$5&lt;$C$99))*MIN('Accom_Phase Schedule'!$G67+R116,'Accom_Phase Schedule'!$C67-'Accom_Phase Schedule'!$H67)</f>
        <v>0</v>
      </c>
      <c r="T116" s="114">
        <f>(AND(T$5&gt;='Accom_Phase Schedule'!$E67,T$5&lt;$C$99))*MIN('Accom_Phase Schedule'!$G67+S116,'Accom_Phase Schedule'!$C67-'Accom_Phase Schedule'!$H67)</f>
        <v>0</v>
      </c>
      <c r="U116" s="114">
        <f>(AND(U$5&gt;='Accom_Phase Schedule'!$E67,U$5&lt;$C$99))*MIN('Accom_Phase Schedule'!$G67+T116,'Accom_Phase Schedule'!$C67-'Accom_Phase Schedule'!$H67)</f>
        <v>0</v>
      </c>
      <c r="V116" s="114">
        <f>(AND(V$5&gt;='Accom_Phase Schedule'!$E67,V$5&lt;$C$99))*MIN('Accom_Phase Schedule'!$G67+U116,'Accom_Phase Schedule'!$C67-'Accom_Phase Schedule'!$H67)</f>
        <v>0</v>
      </c>
      <c r="W116" s="114">
        <f>(AND(W$5&gt;='Accom_Phase Schedule'!$E67,W$5&lt;$C$99))*MIN('Accom_Phase Schedule'!$G67+V116,'Accom_Phase Schedule'!$C67-'Accom_Phase Schedule'!$H67)</f>
        <v>0</v>
      </c>
      <c r="X116" s="114">
        <f>(AND(X$5&gt;='Accom_Phase Schedule'!$E67,X$5&lt;$C$99))*MIN('Accom_Phase Schedule'!$G67+W116,'Accom_Phase Schedule'!$C67-'Accom_Phase Schedule'!$H67)</f>
        <v>0</v>
      </c>
      <c r="Y116" s="114">
        <f>(AND(Y$5&gt;='Accom_Phase Schedule'!$E67,Y$5&lt;$C$99))*MIN('Accom_Phase Schedule'!$G67+X116,'Accom_Phase Schedule'!$C67-'Accom_Phase Schedule'!$H67)</f>
        <v>0</v>
      </c>
      <c r="Z116" s="114">
        <f>(AND(Z$5&gt;='Accom_Phase Schedule'!$E67,Z$5&lt;$C$99))*MIN('Accom_Phase Schedule'!$G67+Y116,'Accom_Phase Schedule'!$C67-'Accom_Phase Schedule'!$H67)</f>
        <v>0</v>
      </c>
      <c r="AA116" s="114">
        <f>(AND(AA$5&gt;='Accom_Phase Schedule'!$E67,AA$5&lt;$C$99))*MIN('Accom_Phase Schedule'!$G67+Z116,'Accom_Phase Schedule'!$C67-'Accom_Phase Schedule'!$H67)</f>
        <v>0</v>
      </c>
      <c r="AB116" s="114">
        <f>(AND(AB$5&gt;='Accom_Phase Schedule'!$E67,AB$5&lt;$C$99))*MIN('Accom_Phase Schedule'!$G67+AA116,'Accom_Phase Schedule'!$C67-'Accom_Phase Schedule'!$H67)</f>
        <v>0</v>
      </c>
      <c r="AC116" s="114">
        <f>(AND(AC$5&gt;='Accom_Phase Schedule'!$E67,AC$5&lt;$C$99))*MIN('Accom_Phase Schedule'!$G67+AB116,'Accom_Phase Schedule'!$C67-'Accom_Phase Schedule'!$H67)</f>
        <v>23</v>
      </c>
      <c r="AD116" s="114">
        <f>(AND(AD$5&gt;='Accom_Phase Schedule'!$E67,AD$5&lt;$C$99))*MIN('Accom_Phase Schedule'!$G67+AC116,'Accom_Phase Schedule'!$C67-'Accom_Phase Schedule'!$H67)</f>
        <v>46</v>
      </c>
      <c r="AE116" s="114">
        <f>(AND(AE$5&gt;='Accom_Phase Schedule'!$E67,AE$5&lt;$C$99))*MIN('Accom_Phase Schedule'!$G67+AD116,'Accom_Phase Schedule'!$C67-'Accom_Phase Schedule'!$H67)</f>
        <v>69</v>
      </c>
      <c r="AF116" s="114">
        <f>(AND(AF$5&gt;='Accom_Phase Schedule'!$E67,AF$5&lt;$C$99))*MIN('Accom_Phase Schedule'!$G67+AE116,'Accom_Phase Schedule'!$C67-'Accom_Phase Schedule'!$H67)</f>
        <v>88</v>
      </c>
      <c r="AG116" s="114">
        <f>(AND(AG$5&gt;='Accom_Phase Schedule'!$E67,AG$5&lt;$C$99))*MIN('Accom_Phase Schedule'!$G67+AF116,'Accom_Phase Schedule'!$C67-'Accom_Phase Schedule'!$H67)</f>
        <v>88</v>
      </c>
      <c r="AH116" s="114">
        <f>(AND(AH$5&gt;='Accom_Phase Schedule'!$E67,AH$5&lt;$C$99))*MIN('Accom_Phase Schedule'!$G67+AG116,'Accom_Phase Schedule'!$C67-'Accom_Phase Schedule'!$H67)</f>
        <v>88</v>
      </c>
      <c r="AI116" s="114">
        <f>(AND(AI$5&gt;='Accom_Phase Schedule'!$E67,AI$5&lt;$C$99))*MIN('Accom_Phase Schedule'!$G67+AH116,'Accom_Phase Schedule'!$C67-'Accom_Phase Schedule'!$H67)</f>
        <v>88</v>
      </c>
      <c r="AJ116" s="114">
        <f>(AND(AJ$5&gt;='Accom_Phase Schedule'!$E67,AJ$5&lt;$C$99))*MIN('Accom_Phase Schedule'!$G67+AI116,'Accom_Phase Schedule'!$C67-'Accom_Phase Schedule'!$H67)</f>
        <v>88</v>
      </c>
      <c r="AK116" s="114">
        <f>(AND(AK$5&gt;='Accom_Phase Schedule'!$E67,AK$5&lt;$C$99))*MIN('Accom_Phase Schedule'!$G67+AJ116,'Accom_Phase Schedule'!$C67-'Accom_Phase Schedule'!$H67)</f>
        <v>88</v>
      </c>
      <c r="AL116" s="114">
        <f>(AND(AL$5&gt;='Accom_Phase Schedule'!$E67,AL$5&lt;$C$99))*MIN('Accom_Phase Schedule'!$G67+AK116,'Accom_Phase Schedule'!$C67-'Accom_Phase Schedule'!$H67)</f>
        <v>88</v>
      </c>
      <c r="AM116" s="114">
        <f>(AND(AM$5&gt;='Accom_Phase Schedule'!$E67,AM$5&lt;$C$99))*MIN('Accom_Phase Schedule'!$G67+AL116,'Accom_Phase Schedule'!$C67-'Accom_Phase Schedule'!$H67)</f>
        <v>88</v>
      </c>
      <c r="AN116" s="114">
        <f>(AND(AN$5&gt;='Accom_Phase Schedule'!$E67,AN$5&lt;$C$99))*MIN('Accom_Phase Schedule'!$G67+AM116,'Accom_Phase Schedule'!$C67-'Accom_Phase Schedule'!$H67)</f>
        <v>88</v>
      </c>
      <c r="AO116" s="114">
        <f>(AND(AO$5&gt;='Accom_Phase Schedule'!$E67,AO$5&lt;$C$99))*MIN('Accom_Phase Schedule'!$G67+AN116,'Accom_Phase Schedule'!$C67-'Accom_Phase Schedule'!$H67)</f>
        <v>88</v>
      </c>
      <c r="AP116" s="114">
        <f>(AND(AP$5&gt;='Accom_Phase Schedule'!$E67,AP$5&lt;$C$99))*MIN('Accom_Phase Schedule'!$G67+AO116,'Accom_Phase Schedule'!$C67-'Accom_Phase Schedule'!$H67)</f>
        <v>88</v>
      </c>
      <c r="AQ116" s="114">
        <f>(AND(AQ$5&gt;='Accom_Phase Schedule'!$E67,AQ$5&lt;$C$99))*MIN('Accom_Phase Schedule'!$G67+AP116,'Accom_Phase Schedule'!$C67-'Accom_Phase Schedule'!$H67)</f>
        <v>88</v>
      </c>
      <c r="AR116" s="114">
        <f>(AND(AR$5&gt;='Accom_Phase Schedule'!$E67,AR$5&lt;$C$99))*MIN('Accom_Phase Schedule'!$G67+AQ116,'Accom_Phase Schedule'!$C67-'Accom_Phase Schedule'!$H67)</f>
        <v>88</v>
      </c>
      <c r="AS116" s="114">
        <f>(AND(AS$5&gt;='Accom_Phase Schedule'!$E67,AS$5&lt;$C$99))*MIN('Accom_Phase Schedule'!$G67+AR116,'Accom_Phase Schedule'!$C67-'Accom_Phase Schedule'!$H67)</f>
        <v>88</v>
      </c>
      <c r="AT116" s="114">
        <f>(AND(AT$5&gt;='Accom_Phase Schedule'!$E67,AT$5&lt;$C$99))*MIN('Accom_Phase Schedule'!$G67+AS116,'Accom_Phase Schedule'!$C67-'Accom_Phase Schedule'!$H67)</f>
        <v>88</v>
      </c>
      <c r="AU116" s="114">
        <f>(AND(AU$5&gt;='Accom_Phase Schedule'!$E67,AU$5&lt;$C$99))*MIN('Accom_Phase Schedule'!$G67+AT116,'Accom_Phase Schedule'!$C67-'Accom_Phase Schedule'!$H67)</f>
        <v>88</v>
      </c>
      <c r="AV116" s="114">
        <f>(AND(AV$5&gt;='Accom_Phase Schedule'!$E67,AV$5&lt;$C$99))*MIN('Accom_Phase Schedule'!$G67+AU116,'Accom_Phase Schedule'!$C67-'Accom_Phase Schedule'!$H67)</f>
        <v>88</v>
      </c>
      <c r="AW116" s="114">
        <f>(AND(AW$5&gt;='Accom_Phase Schedule'!$E67,AW$5&lt;$C$99))*MIN('Accom_Phase Schedule'!$G67+AV116,'Accom_Phase Schedule'!$C67-'Accom_Phase Schedule'!$H67)</f>
        <v>88</v>
      </c>
      <c r="AX116" s="114">
        <f>(AND(AX$5&gt;='Accom_Phase Schedule'!$E67,AX$5&lt;$C$99))*MIN('Accom_Phase Schedule'!$G67+AW116,'Accom_Phase Schedule'!$C67-'Accom_Phase Schedule'!$H67)</f>
        <v>88</v>
      </c>
      <c r="AY116" s="114">
        <f>(AND(AY$5&gt;='Accom_Phase Schedule'!$E67,AY$5&lt;$C$99))*MIN('Accom_Phase Schedule'!$G67+AX116,'Accom_Phase Schedule'!$C67-'Accom_Phase Schedule'!$H67)</f>
        <v>88</v>
      </c>
      <c r="AZ116" s="114">
        <f>(AND(AZ$5&gt;='Accom_Phase Schedule'!$E67,AZ$5&lt;$C$99))*MIN('Accom_Phase Schedule'!$G67+AY116,'Accom_Phase Schedule'!$C67-'Accom_Phase Schedule'!$H67)</f>
        <v>88</v>
      </c>
      <c r="BA116" s="114">
        <f>(AND(BA$5&gt;='Accom_Phase Schedule'!$E67,BA$5&lt;$C$99))*MIN('Accom_Phase Schedule'!$G67+AZ116,'Accom_Phase Schedule'!$C67-'Accom_Phase Schedule'!$H67)</f>
        <v>0</v>
      </c>
      <c r="BB116" s="114">
        <f>(AND(BB$5&gt;='Accom_Phase Schedule'!$E67,BB$5&lt;$C$99))*MIN('Accom_Phase Schedule'!$G67+BA116,'Accom_Phase Schedule'!$C67-'Accom_Phase Schedule'!$H67)</f>
        <v>0</v>
      </c>
      <c r="BC116" s="115">
        <f>(AND(BC$5&gt;='Accom_Phase Schedule'!$E67,BC$5&lt;$C$99))*MIN('Accom_Phase Schedule'!$G67+BB116,'Accom_Phase Schedule'!$C67-'Accom_Phase Schedule'!$H67)</f>
        <v>0</v>
      </c>
    </row>
    <row r="117" spans="8:56" x14ac:dyDescent="0.25">
      <c r="H117" s="106" t="s">
        <v>124</v>
      </c>
      <c r="I117" s="107"/>
      <c r="J117" s="108"/>
      <c r="K117" s="114">
        <f>(AND(K$5&gt;='Accom_Phase Schedule'!$E68,K$5&lt;$C$99))*MIN('Accom_Phase Schedule'!$G68+J117,'Accom_Phase Schedule'!$C68-'Accom_Phase Schedule'!$H68)</f>
        <v>0</v>
      </c>
      <c r="L117" s="114">
        <f>(AND(L$5&gt;='Accom_Phase Schedule'!$E68,L$5&lt;$C$99))*MIN('Accom_Phase Schedule'!$G68+K117,'Accom_Phase Schedule'!$C68-'Accom_Phase Schedule'!$H68)</f>
        <v>0</v>
      </c>
      <c r="M117" s="114">
        <f>(AND(M$5&gt;='Accom_Phase Schedule'!$E68,M$5&lt;$C$99))*MIN('Accom_Phase Schedule'!$G68+L117,'Accom_Phase Schedule'!$C68-'Accom_Phase Schedule'!$H68)</f>
        <v>0</v>
      </c>
      <c r="N117" s="114">
        <f>(AND(N$5&gt;='Accom_Phase Schedule'!$E68,N$5&lt;$C$99))*MIN('Accom_Phase Schedule'!$G68+M117,'Accom_Phase Schedule'!$C68-'Accom_Phase Schedule'!$H68)</f>
        <v>0</v>
      </c>
      <c r="O117" s="114">
        <f>(AND(O$5&gt;='Accom_Phase Schedule'!$E68,O$5&lt;$C$99))*MIN('Accom_Phase Schedule'!$G68+N117,'Accom_Phase Schedule'!$C68-'Accom_Phase Schedule'!$H68)</f>
        <v>0</v>
      </c>
      <c r="P117" s="114">
        <f>(AND(P$5&gt;='Accom_Phase Schedule'!$E68,P$5&lt;$C$99))*MIN('Accom_Phase Schedule'!$G68+O117,'Accom_Phase Schedule'!$C68-'Accom_Phase Schedule'!$H68)</f>
        <v>0</v>
      </c>
      <c r="Q117" s="114">
        <f>(AND(Q$5&gt;='Accom_Phase Schedule'!$E68,Q$5&lt;$C$99))*MIN('Accom_Phase Schedule'!$G68+P117,'Accom_Phase Schedule'!$C68-'Accom_Phase Schedule'!$H68)</f>
        <v>0</v>
      </c>
      <c r="R117" s="114">
        <f>(AND(R$5&gt;='Accom_Phase Schedule'!$E68,R$5&lt;$C$99))*MIN('Accom_Phase Schedule'!$G68+Q117,'Accom_Phase Schedule'!$C68-'Accom_Phase Schedule'!$H68)</f>
        <v>0</v>
      </c>
      <c r="S117" s="114">
        <f>(AND(S$5&gt;='Accom_Phase Schedule'!$E68,S$5&lt;$C$99))*MIN('Accom_Phase Schedule'!$G68+R117,'Accom_Phase Schedule'!$C68-'Accom_Phase Schedule'!$H68)</f>
        <v>0</v>
      </c>
      <c r="T117" s="114">
        <f>(AND(T$5&gt;='Accom_Phase Schedule'!$E68,T$5&lt;$C$99))*MIN('Accom_Phase Schedule'!$G68+S117,'Accom_Phase Schedule'!$C68-'Accom_Phase Schedule'!$H68)</f>
        <v>0</v>
      </c>
      <c r="U117" s="114">
        <f>(AND(U$5&gt;='Accom_Phase Schedule'!$E68,U$5&lt;$C$99))*MIN('Accom_Phase Schedule'!$G68+T117,'Accom_Phase Schedule'!$C68-'Accom_Phase Schedule'!$H68)</f>
        <v>0</v>
      </c>
      <c r="V117" s="114">
        <f>(AND(V$5&gt;='Accom_Phase Schedule'!$E68,V$5&lt;$C$99))*MIN('Accom_Phase Schedule'!$G68+U117,'Accom_Phase Schedule'!$C68-'Accom_Phase Schedule'!$H68)</f>
        <v>0</v>
      </c>
      <c r="W117" s="114">
        <f>(AND(W$5&gt;='Accom_Phase Schedule'!$E68,W$5&lt;$C$99))*MIN('Accom_Phase Schedule'!$G68+V117,'Accom_Phase Schedule'!$C68-'Accom_Phase Schedule'!$H68)</f>
        <v>0</v>
      </c>
      <c r="X117" s="114">
        <f>(AND(X$5&gt;='Accom_Phase Schedule'!$E68,X$5&lt;$C$99))*MIN('Accom_Phase Schedule'!$G68+W117,'Accom_Phase Schedule'!$C68-'Accom_Phase Schedule'!$H68)</f>
        <v>0</v>
      </c>
      <c r="Y117" s="114">
        <f>(AND(Y$5&gt;='Accom_Phase Schedule'!$E68,Y$5&lt;$C$99))*MIN('Accom_Phase Schedule'!$G68+X117,'Accom_Phase Schedule'!$C68-'Accom_Phase Schedule'!$H68)</f>
        <v>0</v>
      </c>
      <c r="Z117" s="114">
        <f>(AND(Z$5&gt;='Accom_Phase Schedule'!$E68,Z$5&lt;$C$99))*MIN('Accom_Phase Schedule'!$G68+Y117,'Accom_Phase Schedule'!$C68-'Accom_Phase Schedule'!$H68)</f>
        <v>0</v>
      </c>
      <c r="AA117" s="114">
        <f>(AND(AA$5&gt;='Accom_Phase Schedule'!$E68,AA$5&lt;$C$99))*MIN('Accom_Phase Schedule'!$G68+Z117,'Accom_Phase Schedule'!$C68-'Accom_Phase Schedule'!$H68)</f>
        <v>0</v>
      </c>
      <c r="AB117" s="114">
        <f>(AND(AB$5&gt;='Accom_Phase Schedule'!$E68,AB$5&lt;$C$99))*MIN('Accom_Phase Schedule'!$G68+AA117,'Accom_Phase Schedule'!$C68-'Accom_Phase Schedule'!$H68)</f>
        <v>0</v>
      </c>
      <c r="AC117" s="114">
        <f>(AND(AC$5&gt;='Accom_Phase Schedule'!$E68,AC$5&lt;$C$99))*MIN('Accom_Phase Schedule'!$G68+AB117,'Accom_Phase Schedule'!$C68-'Accom_Phase Schedule'!$H68)</f>
        <v>0</v>
      </c>
      <c r="AD117" s="114">
        <f>(AND(AD$5&gt;='Accom_Phase Schedule'!$E68,AD$5&lt;$C$99))*MIN('Accom_Phase Schedule'!$G68+AC117,'Accom_Phase Schedule'!$C68-'Accom_Phase Schedule'!$H68)</f>
        <v>0</v>
      </c>
      <c r="AE117" s="114">
        <f>(AND(AE$5&gt;='Accom_Phase Schedule'!$E68,AE$5&lt;$C$99))*MIN('Accom_Phase Schedule'!$G68+AD117,'Accom_Phase Schedule'!$C68-'Accom_Phase Schedule'!$H68)</f>
        <v>0</v>
      </c>
      <c r="AF117" s="114">
        <f>(AND(AF$5&gt;='Accom_Phase Schedule'!$E68,AF$5&lt;$C$99))*MIN('Accom_Phase Schedule'!$G68+AE117,'Accom_Phase Schedule'!$C68-'Accom_Phase Schedule'!$H68)</f>
        <v>0</v>
      </c>
      <c r="AG117" s="114">
        <f>(AND(AG$5&gt;='Accom_Phase Schedule'!$E68,AG$5&lt;$C$99))*MIN('Accom_Phase Schedule'!$G68+AF117,'Accom_Phase Schedule'!$C68-'Accom_Phase Schedule'!$H68)</f>
        <v>0</v>
      </c>
      <c r="AH117" s="114">
        <f>(AND(AH$5&gt;='Accom_Phase Schedule'!$E68,AH$5&lt;$C$99))*MIN('Accom_Phase Schedule'!$G68+AG117,'Accom_Phase Schedule'!$C68-'Accom_Phase Schedule'!$H68)</f>
        <v>0</v>
      </c>
      <c r="AI117" s="114">
        <f>(AND(AI$5&gt;='Accom_Phase Schedule'!$E68,AI$5&lt;$C$99))*MIN('Accom_Phase Schedule'!$G68+AH117,'Accom_Phase Schedule'!$C68-'Accom_Phase Schedule'!$H68)</f>
        <v>23</v>
      </c>
      <c r="AJ117" s="114">
        <f>(AND(AJ$5&gt;='Accom_Phase Schedule'!$E68,AJ$5&lt;$C$99))*MIN('Accom_Phase Schedule'!$G68+AI117,'Accom_Phase Schedule'!$C68-'Accom_Phase Schedule'!$H68)</f>
        <v>46</v>
      </c>
      <c r="AK117" s="114">
        <f>(AND(AK$5&gt;='Accom_Phase Schedule'!$E68,AK$5&lt;$C$99))*MIN('Accom_Phase Schedule'!$G68+AJ117,'Accom_Phase Schedule'!$C68-'Accom_Phase Schedule'!$H68)</f>
        <v>69</v>
      </c>
      <c r="AL117" s="114">
        <f>(AND(AL$5&gt;='Accom_Phase Schedule'!$E68,AL$5&lt;$C$99))*MIN('Accom_Phase Schedule'!$G68+AK117,'Accom_Phase Schedule'!$C68-'Accom_Phase Schedule'!$H68)</f>
        <v>88</v>
      </c>
      <c r="AM117" s="114">
        <f>(AND(AM$5&gt;='Accom_Phase Schedule'!$E68,AM$5&lt;$C$99))*MIN('Accom_Phase Schedule'!$G68+AL117,'Accom_Phase Schedule'!$C68-'Accom_Phase Schedule'!$H68)</f>
        <v>88</v>
      </c>
      <c r="AN117" s="114">
        <f>(AND(AN$5&gt;='Accom_Phase Schedule'!$E68,AN$5&lt;$C$99))*MIN('Accom_Phase Schedule'!$G68+AM117,'Accom_Phase Schedule'!$C68-'Accom_Phase Schedule'!$H68)</f>
        <v>88</v>
      </c>
      <c r="AO117" s="114">
        <f>(AND(AO$5&gt;='Accom_Phase Schedule'!$E68,AO$5&lt;$C$99))*MIN('Accom_Phase Schedule'!$G68+AN117,'Accom_Phase Schedule'!$C68-'Accom_Phase Schedule'!$H68)</f>
        <v>88</v>
      </c>
      <c r="AP117" s="114">
        <f>(AND(AP$5&gt;='Accom_Phase Schedule'!$E68,AP$5&lt;$C$99))*MIN('Accom_Phase Schedule'!$G68+AO117,'Accom_Phase Schedule'!$C68-'Accom_Phase Schedule'!$H68)</f>
        <v>88</v>
      </c>
      <c r="AQ117" s="114">
        <f>(AND(AQ$5&gt;='Accom_Phase Schedule'!$E68,AQ$5&lt;$C$99))*MIN('Accom_Phase Schedule'!$G68+AP117,'Accom_Phase Schedule'!$C68-'Accom_Phase Schedule'!$H68)</f>
        <v>88</v>
      </c>
      <c r="AR117" s="114">
        <f>(AND(AR$5&gt;='Accom_Phase Schedule'!$E68,AR$5&lt;$C$99))*MIN('Accom_Phase Schedule'!$G68+AQ117,'Accom_Phase Schedule'!$C68-'Accom_Phase Schedule'!$H68)</f>
        <v>88</v>
      </c>
      <c r="AS117" s="114">
        <f>(AND(AS$5&gt;='Accom_Phase Schedule'!$E68,AS$5&lt;$C$99))*MIN('Accom_Phase Schedule'!$G68+AR117,'Accom_Phase Schedule'!$C68-'Accom_Phase Schedule'!$H68)</f>
        <v>88</v>
      </c>
      <c r="AT117" s="114">
        <f>(AND(AT$5&gt;='Accom_Phase Schedule'!$E68,AT$5&lt;$C$99))*MIN('Accom_Phase Schedule'!$G68+AS117,'Accom_Phase Schedule'!$C68-'Accom_Phase Schedule'!$H68)</f>
        <v>88</v>
      </c>
      <c r="AU117" s="114">
        <f>(AND(AU$5&gt;='Accom_Phase Schedule'!$E68,AU$5&lt;$C$99))*MIN('Accom_Phase Schedule'!$G68+AT117,'Accom_Phase Schedule'!$C68-'Accom_Phase Schedule'!$H68)</f>
        <v>88</v>
      </c>
      <c r="AV117" s="114">
        <f>(AND(AV$5&gt;='Accom_Phase Schedule'!$E68,AV$5&lt;$C$99))*MIN('Accom_Phase Schedule'!$G68+AU117,'Accom_Phase Schedule'!$C68-'Accom_Phase Schedule'!$H68)</f>
        <v>88</v>
      </c>
      <c r="AW117" s="114">
        <f>(AND(AW$5&gt;='Accom_Phase Schedule'!$E68,AW$5&lt;$C$99))*MIN('Accom_Phase Schedule'!$G68+AV117,'Accom_Phase Schedule'!$C68-'Accom_Phase Schedule'!$H68)</f>
        <v>88</v>
      </c>
      <c r="AX117" s="114">
        <f>(AND(AX$5&gt;='Accom_Phase Schedule'!$E68,AX$5&lt;$C$99))*MIN('Accom_Phase Schedule'!$G68+AW117,'Accom_Phase Schedule'!$C68-'Accom_Phase Schedule'!$H68)</f>
        <v>88</v>
      </c>
      <c r="AY117" s="114">
        <f>(AND(AY$5&gt;='Accom_Phase Schedule'!$E68,AY$5&lt;$C$99))*MIN('Accom_Phase Schedule'!$G68+AX117,'Accom_Phase Schedule'!$C68-'Accom_Phase Schedule'!$H68)</f>
        <v>88</v>
      </c>
      <c r="AZ117" s="114">
        <f>(AND(AZ$5&gt;='Accom_Phase Schedule'!$E68,AZ$5&lt;$C$99))*MIN('Accom_Phase Schedule'!$G68+AY117,'Accom_Phase Schedule'!$C68-'Accom_Phase Schedule'!$H68)</f>
        <v>88</v>
      </c>
      <c r="BA117" s="114">
        <f>(AND(BA$5&gt;='Accom_Phase Schedule'!$E68,BA$5&lt;$C$99))*MIN('Accom_Phase Schedule'!$G68+AZ117,'Accom_Phase Schedule'!$C68-'Accom_Phase Schedule'!$H68)</f>
        <v>0</v>
      </c>
      <c r="BB117" s="114">
        <f>(AND(BB$5&gt;='Accom_Phase Schedule'!$E68,BB$5&lt;$C$99))*MIN('Accom_Phase Schedule'!$G68+BA117,'Accom_Phase Schedule'!$C68-'Accom_Phase Schedule'!$H68)</f>
        <v>0</v>
      </c>
      <c r="BC117" s="115">
        <f>(AND(BC$5&gt;='Accom_Phase Schedule'!$E68,BC$5&lt;$C$99))*MIN('Accom_Phase Schedule'!$G68+BB117,'Accom_Phase Schedule'!$C68-'Accom_Phase Schedule'!$H68)</f>
        <v>0</v>
      </c>
    </row>
    <row r="118" spans="8:56" x14ac:dyDescent="0.25">
      <c r="H118" s="106" t="s">
        <v>125</v>
      </c>
      <c r="I118" s="107"/>
      <c r="J118" s="108"/>
      <c r="K118" s="114">
        <f>(AND(K$5&gt;='Accom_Phase Schedule'!$E69,K$5&lt;$C$99))*MIN('Accom_Phase Schedule'!$G69+J118,'Accom_Phase Schedule'!$C69-'Accom_Phase Schedule'!$H69)</f>
        <v>0</v>
      </c>
      <c r="L118" s="114">
        <f>(AND(L$5&gt;='Accom_Phase Schedule'!$E69,L$5&lt;$C$99))*MIN('Accom_Phase Schedule'!$G69+K118,'Accom_Phase Schedule'!$C69-'Accom_Phase Schedule'!$H69)</f>
        <v>0</v>
      </c>
      <c r="M118" s="114">
        <f>(AND(M$5&gt;='Accom_Phase Schedule'!$E69,M$5&lt;$C$99))*MIN('Accom_Phase Schedule'!$G69+L118,'Accom_Phase Schedule'!$C69-'Accom_Phase Schedule'!$H69)</f>
        <v>0</v>
      </c>
      <c r="N118" s="114">
        <f>(AND(N$5&gt;='Accom_Phase Schedule'!$E69,N$5&lt;$C$99))*MIN('Accom_Phase Schedule'!$G69+M118,'Accom_Phase Schedule'!$C69-'Accom_Phase Schedule'!$H69)</f>
        <v>0</v>
      </c>
      <c r="O118" s="114">
        <f>(AND(O$5&gt;='Accom_Phase Schedule'!$E69,O$5&lt;$C$99))*MIN('Accom_Phase Schedule'!$G69+N118,'Accom_Phase Schedule'!$C69-'Accom_Phase Schedule'!$H69)</f>
        <v>0</v>
      </c>
      <c r="P118" s="114">
        <f>(AND(P$5&gt;='Accom_Phase Schedule'!$E69,P$5&lt;$C$99))*MIN('Accom_Phase Schedule'!$G69+O118,'Accom_Phase Schedule'!$C69-'Accom_Phase Schedule'!$H69)</f>
        <v>0</v>
      </c>
      <c r="Q118" s="114">
        <f>(AND(Q$5&gt;='Accom_Phase Schedule'!$E69,Q$5&lt;$C$99))*MIN('Accom_Phase Schedule'!$G69+P118,'Accom_Phase Schedule'!$C69-'Accom_Phase Schedule'!$H69)</f>
        <v>0</v>
      </c>
      <c r="R118" s="114">
        <f>(AND(R$5&gt;='Accom_Phase Schedule'!$E69,R$5&lt;$C$99))*MIN('Accom_Phase Schedule'!$G69+Q118,'Accom_Phase Schedule'!$C69-'Accom_Phase Schedule'!$H69)</f>
        <v>0</v>
      </c>
      <c r="S118" s="114">
        <f>(AND(S$5&gt;='Accom_Phase Schedule'!$E69,S$5&lt;$C$99))*MIN('Accom_Phase Schedule'!$G69+R118,'Accom_Phase Schedule'!$C69-'Accom_Phase Schedule'!$H69)</f>
        <v>0</v>
      </c>
      <c r="T118" s="114">
        <f>(AND(T$5&gt;='Accom_Phase Schedule'!$E69,T$5&lt;$C$99))*MIN('Accom_Phase Schedule'!$G69+S118,'Accom_Phase Schedule'!$C69-'Accom_Phase Schedule'!$H69)</f>
        <v>0</v>
      </c>
      <c r="U118" s="114">
        <f>(AND(U$5&gt;='Accom_Phase Schedule'!$E69,U$5&lt;$C$99))*MIN('Accom_Phase Schedule'!$G69+T118,'Accom_Phase Schedule'!$C69-'Accom_Phase Schedule'!$H69)</f>
        <v>0</v>
      </c>
      <c r="V118" s="114">
        <f>(AND(V$5&gt;='Accom_Phase Schedule'!$E69,V$5&lt;$C$99))*MIN('Accom_Phase Schedule'!$G69+U118,'Accom_Phase Schedule'!$C69-'Accom_Phase Schedule'!$H69)</f>
        <v>0</v>
      </c>
      <c r="W118" s="114">
        <f>(AND(W$5&gt;='Accom_Phase Schedule'!$E69,W$5&lt;$C$99))*MIN('Accom_Phase Schedule'!$G69+V118,'Accom_Phase Schedule'!$C69-'Accom_Phase Schedule'!$H69)</f>
        <v>0</v>
      </c>
      <c r="X118" s="114">
        <f>(AND(X$5&gt;='Accom_Phase Schedule'!$E69,X$5&lt;$C$99))*MIN('Accom_Phase Schedule'!$G69+W118,'Accom_Phase Schedule'!$C69-'Accom_Phase Schedule'!$H69)</f>
        <v>0</v>
      </c>
      <c r="Y118" s="114">
        <f>(AND(Y$5&gt;='Accom_Phase Schedule'!$E69,Y$5&lt;$C$99))*MIN('Accom_Phase Schedule'!$G69+X118,'Accom_Phase Schedule'!$C69-'Accom_Phase Schedule'!$H69)</f>
        <v>0</v>
      </c>
      <c r="Z118" s="114">
        <f>(AND(Z$5&gt;='Accom_Phase Schedule'!$E69,Z$5&lt;$C$99))*MIN('Accom_Phase Schedule'!$G69+Y118,'Accom_Phase Schedule'!$C69-'Accom_Phase Schedule'!$H69)</f>
        <v>0</v>
      </c>
      <c r="AA118" s="114">
        <f>(AND(AA$5&gt;='Accom_Phase Schedule'!$E69,AA$5&lt;$C$99))*MIN('Accom_Phase Schedule'!$G69+Z118,'Accom_Phase Schedule'!$C69-'Accom_Phase Schedule'!$H69)</f>
        <v>0</v>
      </c>
      <c r="AB118" s="114">
        <f>(AND(AB$5&gt;='Accom_Phase Schedule'!$E69,AB$5&lt;$C$99))*MIN('Accom_Phase Schedule'!$G69+AA118,'Accom_Phase Schedule'!$C69-'Accom_Phase Schedule'!$H69)</f>
        <v>0</v>
      </c>
      <c r="AC118" s="114">
        <f>(AND(AC$5&gt;='Accom_Phase Schedule'!$E69,AC$5&lt;$C$99))*MIN('Accom_Phase Schedule'!$G69+AB118,'Accom_Phase Schedule'!$C69-'Accom_Phase Schedule'!$H69)</f>
        <v>0</v>
      </c>
      <c r="AD118" s="114">
        <f>(AND(AD$5&gt;='Accom_Phase Schedule'!$E69,AD$5&lt;$C$99))*MIN('Accom_Phase Schedule'!$G69+AC118,'Accom_Phase Schedule'!$C69-'Accom_Phase Schedule'!$H69)</f>
        <v>0</v>
      </c>
      <c r="AE118" s="114">
        <f>(AND(AE$5&gt;='Accom_Phase Schedule'!$E69,AE$5&lt;$C$99))*MIN('Accom_Phase Schedule'!$G69+AD118,'Accom_Phase Schedule'!$C69-'Accom_Phase Schedule'!$H69)</f>
        <v>0</v>
      </c>
      <c r="AF118" s="114">
        <f>(AND(AF$5&gt;='Accom_Phase Schedule'!$E69,AF$5&lt;$C$99))*MIN('Accom_Phase Schedule'!$G69+AE118,'Accom_Phase Schedule'!$C69-'Accom_Phase Schedule'!$H69)</f>
        <v>0</v>
      </c>
      <c r="AG118" s="114">
        <f>(AND(AG$5&gt;='Accom_Phase Schedule'!$E69,AG$5&lt;$C$99))*MIN('Accom_Phase Schedule'!$G69+AF118,'Accom_Phase Schedule'!$C69-'Accom_Phase Schedule'!$H69)</f>
        <v>0</v>
      </c>
      <c r="AH118" s="114">
        <f>(AND(AH$5&gt;='Accom_Phase Schedule'!$E69,AH$5&lt;$C$99))*MIN('Accom_Phase Schedule'!$G69+AG118,'Accom_Phase Schedule'!$C69-'Accom_Phase Schedule'!$H69)</f>
        <v>0</v>
      </c>
      <c r="AI118" s="114">
        <f>(AND(AI$5&gt;='Accom_Phase Schedule'!$E69,AI$5&lt;$C$99))*MIN('Accom_Phase Schedule'!$G69+AH118,'Accom_Phase Schedule'!$C69-'Accom_Phase Schedule'!$H69)</f>
        <v>0</v>
      </c>
      <c r="AJ118" s="114">
        <f>(AND(AJ$5&gt;='Accom_Phase Schedule'!$E69,AJ$5&lt;$C$99))*MIN('Accom_Phase Schedule'!$G69+AI118,'Accom_Phase Schedule'!$C69-'Accom_Phase Schedule'!$H69)</f>
        <v>0</v>
      </c>
      <c r="AK118" s="114">
        <f>(AND(AK$5&gt;='Accom_Phase Schedule'!$E69,AK$5&lt;$C$99))*MIN('Accom_Phase Schedule'!$G69+AJ118,'Accom_Phase Schedule'!$C69-'Accom_Phase Schedule'!$H69)</f>
        <v>0</v>
      </c>
      <c r="AL118" s="114">
        <f>(AND(AL$5&gt;='Accom_Phase Schedule'!$E69,AL$5&lt;$C$99))*MIN('Accom_Phase Schedule'!$G69+AK118,'Accom_Phase Schedule'!$C69-'Accom_Phase Schedule'!$H69)</f>
        <v>0</v>
      </c>
      <c r="AM118" s="114">
        <f>(AND(AM$5&gt;='Accom_Phase Schedule'!$E69,AM$5&lt;$C$99))*MIN('Accom_Phase Schedule'!$G69+AL118,'Accom_Phase Schedule'!$C69-'Accom_Phase Schedule'!$H69)</f>
        <v>0</v>
      </c>
      <c r="AN118" s="114">
        <f>(AND(AN$5&gt;='Accom_Phase Schedule'!$E69,AN$5&lt;$C$99))*MIN('Accom_Phase Schedule'!$G69+AM118,'Accom_Phase Schedule'!$C69-'Accom_Phase Schedule'!$H69)</f>
        <v>0</v>
      </c>
      <c r="AO118" s="114">
        <f>(AND(AO$5&gt;='Accom_Phase Schedule'!$E69,AO$5&lt;$C$99))*MIN('Accom_Phase Schedule'!$G69+AN118,'Accom_Phase Schedule'!$C69-'Accom_Phase Schedule'!$H69)</f>
        <v>23</v>
      </c>
      <c r="AP118" s="114">
        <f>(AND(AP$5&gt;='Accom_Phase Schedule'!$E69,AP$5&lt;$C$99))*MIN('Accom_Phase Schedule'!$G69+AO118,'Accom_Phase Schedule'!$C69-'Accom_Phase Schedule'!$H69)</f>
        <v>46</v>
      </c>
      <c r="AQ118" s="114">
        <f>(AND(AQ$5&gt;='Accom_Phase Schedule'!$E69,AQ$5&lt;$C$99))*MIN('Accom_Phase Schedule'!$G69+AP118,'Accom_Phase Schedule'!$C69-'Accom_Phase Schedule'!$H69)</f>
        <v>69</v>
      </c>
      <c r="AR118" s="114">
        <f>(AND(AR$5&gt;='Accom_Phase Schedule'!$E69,AR$5&lt;$C$99))*MIN('Accom_Phase Schedule'!$G69+AQ118,'Accom_Phase Schedule'!$C69-'Accom_Phase Schedule'!$H69)</f>
        <v>88</v>
      </c>
      <c r="AS118" s="114">
        <f>(AND(AS$5&gt;='Accom_Phase Schedule'!$E69,AS$5&lt;$C$99))*MIN('Accom_Phase Schedule'!$G69+AR118,'Accom_Phase Schedule'!$C69-'Accom_Phase Schedule'!$H69)</f>
        <v>88</v>
      </c>
      <c r="AT118" s="114">
        <f>(AND(AT$5&gt;='Accom_Phase Schedule'!$E69,AT$5&lt;$C$99))*MIN('Accom_Phase Schedule'!$G69+AS118,'Accom_Phase Schedule'!$C69-'Accom_Phase Schedule'!$H69)</f>
        <v>88</v>
      </c>
      <c r="AU118" s="114">
        <f>(AND(AU$5&gt;='Accom_Phase Schedule'!$E69,AU$5&lt;$C$99))*MIN('Accom_Phase Schedule'!$G69+AT118,'Accom_Phase Schedule'!$C69-'Accom_Phase Schedule'!$H69)</f>
        <v>88</v>
      </c>
      <c r="AV118" s="114">
        <f>(AND(AV$5&gt;='Accom_Phase Schedule'!$E69,AV$5&lt;$C$99))*MIN('Accom_Phase Schedule'!$G69+AU118,'Accom_Phase Schedule'!$C69-'Accom_Phase Schedule'!$H69)</f>
        <v>88</v>
      </c>
      <c r="AW118" s="114">
        <f>(AND(AW$5&gt;='Accom_Phase Schedule'!$E69,AW$5&lt;$C$99))*MIN('Accom_Phase Schedule'!$G69+AV118,'Accom_Phase Schedule'!$C69-'Accom_Phase Schedule'!$H69)</f>
        <v>88</v>
      </c>
      <c r="AX118" s="114">
        <f>(AND(AX$5&gt;='Accom_Phase Schedule'!$E69,AX$5&lt;$C$99))*MIN('Accom_Phase Schedule'!$G69+AW118,'Accom_Phase Schedule'!$C69-'Accom_Phase Schedule'!$H69)</f>
        <v>88</v>
      </c>
      <c r="AY118" s="114">
        <f>(AND(AY$5&gt;='Accom_Phase Schedule'!$E69,AY$5&lt;$C$99))*MIN('Accom_Phase Schedule'!$G69+AX118,'Accom_Phase Schedule'!$C69-'Accom_Phase Schedule'!$H69)</f>
        <v>88</v>
      </c>
      <c r="AZ118" s="114">
        <f>(AND(AZ$5&gt;='Accom_Phase Schedule'!$E69,AZ$5&lt;$C$99))*MIN('Accom_Phase Schedule'!$G69+AY118,'Accom_Phase Schedule'!$C69-'Accom_Phase Schedule'!$H69)</f>
        <v>88</v>
      </c>
      <c r="BA118" s="114">
        <f>(AND(BA$5&gt;='Accom_Phase Schedule'!$E69,BA$5&lt;$C$99))*MIN('Accom_Phase Schedule'!$G69+AZ118,'Accom_Phase Schedule'!$C69-'Accom_Phase Schedule'!$H69)</f>
        <v>0</v>
      </c>
      <c r="BB118" s="114">
        <f>(AND(BB$5&gt;='Accom_Phase Schedule'!$E69,BB$5&lt;$C$99))*MIN('Accom_Phase Schedule'!$G69+BA118,'Accom_Phase Schedule'!$C69-'Accom_Phase Schedule'!$H69)</f>
        <v>0</v>
      </c>
      <c r="BC118" s="115">
        <f>(AND(BC$5&gt;='Accom_Phase Schedule'!$E69,BC$5&lt;$C$99))*MIN('Accom_Phase Schedule'!$G69+BB118,'Accom_Phase Schedule'!$C69-'Accom_Phase Schedule'!$H69)</f>
        <v>0</v>
      </c>
    </row>
    <row r="119" spans="8:56" x14ac:dyDescent="0.25">
      <c r="H119" s="106"/>
      <c r="I119" s="107"/>
      <c r="J119" s="108"/>
      <c r="K119" s="114"/>
      <c r="L119" s="114"/>
      <c r="M119" s="114"/>
      <c r="N119" s="114"/>
      <c r="O119" s="114"/>
      <c r="P119" s="114"/>
      <c r="Q119" s="114"/>
      <c r="R119" s="114"/>
      <c r="S119" s="114"/>
      <c r="T119" s="114"/>
      <c r="U119" s="114"/>
      <c r="V119" s="114"/>
      <c r="W119" s="114"/>
      <c r="X119" s="114"/>
      <c r="Y119" s="114"/>
      <c r="Z119" s="114"/>
      <c r="AA119" s="114"/>
      <c r="AB119" s="114"/>
      <c r="AC119" s="114"/>
      <c r="AD119" s="114"/>
      <c r="AE119" s="114"/>
      <c r="AF119" s="114"/>
      <c r="AG119" s="114"/>
      <c r="AH119" s="114"/>
      <c r="AI119" s="114"/>
      <c r="AJ119" s="114"/>
      <c r="AK119" s="114"/>
      <c r="AL119" s="114"/>
      <c r="AM119" s="114"/>
      <c r="AN119" s="114"/>
      <c r="AO119" s="114"/>
      <c r="AP119" s="114"/>
      <c r="AQ119" s="114"/>
      <c r="AR119" s="114"/>
      <c r="AS119" s="114"/>
      <c r="AT119" s="114"/>
      <c r="AU119" s="114"/>
      <c r="AV119" s="114"/>
      <c r="AW119" s="114"/>
      <c r="AX119" s="114"/>
      <c r="AY119" s="114"/>
      <c r="AZ119" s="114"/>
      <c r="BA119" s="114"/>
      <c r="BB119" s="114"/>
      <c r="BC119" s="115"/>
    </row>
    <row r="120" spans="8:56" x14ac:dyDescent="0.25">
      <c r="H120" s="106" t="s">
        <v>126</v>
      </c>
      <c r="I120" s="107"/>
      <c r="J120" s="108"/>
      <c r="K120" s="116">
        <f>IFERROR((K114/'Accom_Phase Schedule'!$C65)-(AND(K102&gt;J102,K102&gt;1))*($E$104/52)*12*$E$103,0)</f>
        <v>0</v>
      </c>
      <c r="L120" s="116">
        <f>IFERROR((L114/'Accom_Phase Schedule'!$C65)-(AND(L102&gt;K102,L102&gt;1))*($E$104/52)*12*$E$103,0)</f>
        <v>0</v>
      </c>
      <c r="M120" s="116">
        <f>IFERROR((M114/'Accom_Phase Schedule'!$C65)-(AND(M102&gt;L102,M102&gt;1))*($E$104/52)*12*$E$103,0)</f>
        <v>0</v>
      </c>
      <c r="N120" s="116">
        <f>IFERROR((N114/'Accom_Phase Schedule'!$C65)-(AND(N102&gt;M102,N102&gt;1))*($E$104/52)*12*$E$103,0)</f>
        <v>0</v>
      </c>
      <c r="O120" s="116">
        <f>IFERROR((O114/'Accom_Phase Schedule'!$C65)-(AND(O102&gt;N102,O102&gt;1))*($E$104/52)*12*$E$103,0)</f>
        <v>0</v>
      </c>
      <c r="P120" s="116">
        <f>IFERROR((P114/'Accom_Phase Schedule'!$C65)-(AND(P102&gt;O102,P102&gt;1))*($E$104/52)*12*$E$103,0)</f>
        <v>0</v>
      </c>
      <c r="Q120" s="116">
        <f>IFERROR((Q114/'Accom_Phase Schedule'!$C65)-(AND(Q102&gt;P102,Q102&gt;1))*($E$104/52)*12*$E$103,0)</f>
        <v>0</v>
      </c>
      <c r="R120" s="116">
        <f>IFERROR((R114/'Accom_Phase Schedule'!$C65)-(AND(R102&gt;Q102,R102&gt;1))*($E$104/52)*12*$E$103,0)</f>
        <v>0</v>
      </c>
      <c r="S120" s="116">
        <f>IFERROR((S114/'Accom_Phase Schedule'!$C65)-(AND(S102&gt;R102,S102&gt;1))*($E$104/52)*12*$E$103,0)</f>
        <v>0.25555555555555554</v>
      </c>
      <c r="T120" s="116">
        <f>IFERROR((T114/'Accom_Phase Schedule'!$C65)-(AND(T102&gt;S102,T102&gt;1))*($E$104/52)*12*$E$103,0)</f>
        <v>0.51111111111111107</v>
      </c>
      <c r="U120" s="116">
        <f>IFERROR((U114/'Accom_Phase Schedule'!$C65)-(AND(U102&gt;T102,U102&gt;1))*($E$104/52)*12*$E$103,0)</f>
        <v>0.76666666666666672</v>
      </c>
      <c r="V120" s="116">
        <f>IFERROR((V114/'Accom_Phase Schedule'!$C65)-(AND(V102&gt;U102,V102&gt;1))*($E$104/52)*12*$E$103,0)</f>
        <v>0.97777777777777775</v>
      </c>
      <c r="W120" s="116">
        <f>IFERROR((W114/'Accom_Phase Schedule'!$C65)-(AND(W102&gt;V102,W102&gt;1))*($E$104/52)*12*$E$103,0)</f>
        <v>0.97777777777777775</v>
      </c>
      <c r="X120" s="116">
        <f>IFERROR((X114/'Accom_Phase Schedule'!$C65)-(AND(X102&gt;W102,X102&gt;1))*($E$104/52)*12*$E$103,0)</f>
        <v>0.97777777777777775</v>
      </c>
      <c r="Y120" s="116">
        <f>IFERROR((Y114/'Accom_Phase Schedule'!$C65)-(AND(Y102&gt;X102,Y102&gt;1))*($E$104/52)*12*$E$103,0)</f>
        <v>0.97777777777777775</v>
      </c>
      <c r="Z120" s="116">
        <f>IFERROR((Z114/'Accom_Phase Schedule'!$C65)-(AND(Z102&gt;Y102,Z102&gt;1))*($E$104/52)*12*$E$103,0)</f>
        <v>0.97777777777777775</v>
      </c>
      <c r="AA120" s="116">
        <f>IFERROR((AA114/'Accom_Phase Schedule'!$C65)-(AND(AA102&gt;Z102,AA102&gt;1))*($E$104/52)*12*$E$103,0)</f>
        <v>0.97777777777777775</v>
      </c>
      <c r="AB120" s="116">
        <f>IFERROR((AB114/'Accom_Phase Schedule'!$C65)-(AND(AB102&gt;AA102,AB102&gt;1))*($E$104/52)*12*$E$103,0)</f>
        <v>0.97777777777777775</v>
      </c>
      <c r="AC120" s="116">
        <f>IFERROR((AC114/'Accom_Phase Schedule'!$C65)-(AND(AC102&gt;AB102,AC102&gt;1))*($E$104/52)*12*$E$103,0)</f>
        <v>0.97777777777777775</v>
      </c>
      <c r="AD120" s="116">
        <f>IFERROR((AD114/'Accom_Phase Schedule'!$C65)-(AND(AD102&gt;AC102,AD102&gt;1))*($E$104/52)*12*$E$103,0)</f>
        <v>0.97777777777777775</v>
      </c>
      <c r="AE120" s="116">
        <f>IFERROR((AE114/'Accom_Phase Schedule'!$C65)-(AND(AE102&gt;AD102,AE102&gt;1))*($E$104/52)*12*$E$103,0)</f>
        <v>0.94316239316239314</v>
      </c>
      <c r="AF120" s="116">
        <f>IFERROR((AF114/'Accom_Phase Schedule'!$C65)-(AND(AF102&gt;AE102,AF102&gt;1))*($E$104/52)*12*$E$103,0)</f>
        <v>0.97777777777777775</v>
      </c>
      <c r="AG120" s="116">
        <f>IFERROR((AG114/'Accom_Phase Schedule'!$C65)-(AND(AG102&gt;AF102,AG102&gt;1))*($E$104/52)*12*$E$103,0)</f>
        <v>0.97777777777777775</v>
      </c>
      <c r="AH120" s="116">
        <f>IFERROR((AH114/'Accom_Phase Schedule'!$C65)-(AND(AH102&gt;AG102,AH102&gt;1))*($E$104/52)*12*$E$103,0)</f>
        <v>0.97777777777777775</v>
      </c>
      <c r="AI120" s="116">
        <f>IFERROR((AI114/'Accom_Phase Schedule'!$C65)-(AND(AI102&gt;AH102,AI102&gt;1))*($E$104/52)*12*$E$103,0)</f>
        <v>0.97777777777777775</v>
      </c>
      <c r="AJ120" s="116">
        <f>IFERROR((AJ114/'Accom_Phase Schedule'!$C65)-(AND(AJ102&gt;AI102,AJ102&gt;1))*($E$104/52)*12*$E$103,0)</f>
        <v>0.97777777777777775</v>
      </c>
      <c r="AK120" s="116">
        <f>IFERROR((AK114/'Accom_Phase Schedule'!$C65)-(AND(AK102&gt;AJ102,AK102&gt;1))*($E$104/52)*12*$E$103,0)</f>
        <v>0.97777777777777775</v>
      </c>
      <c r="AL120" s="116">
        <f>IFERROR((AL114/'Accom_Phase Schedule'!$C65)-(AND(AL102&gt;AK102,AL102&gt;1))*($E$104/52)*12*$E$103,0)</f>
        <v>0.97777777777777775</v>
      </c>
      <c r="AM120" s="116">
        <f>IFERROR((AM114/'Accom_Phase Schedule'!$C65)-(AND(AM102&gt;AL102,AM102&gt;1))*($E$104/52)*12*$E$103,0)</f>
        <v>0.97777777777777775</v>
      </c>
      <c r="AN120" s="116">
        <f>IFERROR((AN114/'Accom_Phase Schedule'!$C65)-(AND(AN102&gt;AM102,AN102&gt;1))*($E$104/52)*12*$E$103,0)</f>
        <v>0.97777777777777775</v>
      </c>
      <c r="AO120" s="116">
        <f>IFERROR((AO114/'Accom_Phase Schedule'!$C65)-(AND(AO102&gt;AN102,AO102&gt;1))*($E$104/52)*12*$E$103,0)</f>
        <v>0.97777777777777775</v>
      </c>
      <c r="AP120" s="116">
        <f>IFERROR((AP114/'Accom_Phase Schedule'!$C65)-(AND(AP102&gt;AO102,AP102&gt;1))*($E$104/52)*12*$E$103,0)</f>
        <v>0.97777777777777775</v>
      </c>
      <c r="AQ120" s="116">
        <f>IFERROR((AQ114/'Accom_Phase Schedule'!$C65)-(AND(AQ102&gt;AP102,AQ102&gt;1))*($E$104/52)*12*$E$103,0)</f>
        <v>0.94316239316239314</v>
      </c>
      <c r="AR120" s="116">
        <f>IFERROR((AR114/'Accom_Phase Schedule'!$C65)-(AND(AR102&gt;AQ102,AR102&gt;1))*($E$104/52)*12*$E$103,0)</f>
        <v>0.97777777777777775</v>
      </c>
      <c r="AS120" s="116">
        <f>IFERROR((AS114/'Accom_Phase Schedule'!$C65)-(AND(AS102&gt;AR102,AS102&gt;1))*($E$104/52)*12*$E$103,0)</f>
        <v>0.97777777777777775</v>
      </c>
      <c r="AT120" s="116">
        <f>IFERROR((AT114/'Accom_Phase Schedule'!$C65)-(AND(AT102&gt;AS102,AT102&gt;1))*($E$104/52)*12*$E$103,0)</f>
        <v>0.97777777777777775</v>
      </c>
      <c r="AU120" s="116">
        <f>IFERROR((AU114/'Accom_Phase Schedule'!$C65)-(AND(AU102&gt;AT102,AU102&gt;1))*($E$104/52)*12*$E$103,0)</f>
        <v>0.97777777777777775</v>
      </c>
      <c r="AV120" s="116">
        <f>IFERROR((AV114/'Accom_Phase Schedule'!$C65)-(AND(AV102&gt;AU102,AV102&gt;1))*($E$104/52)*12*$E$103,0)</f>
        <v>0.97777777777777775</v>
      </c>
      <c r="AW120" s="116">
        <f>IFERROR((AW114/'Accom_Phase Schedule'!$C65)-(AND(AW102&gt;AV102,AW102&gt;1))*($E$104/52)*12*$E$103,0)</f>
        <v>0.97777777777777775</v>
      </c>
      <c r="AX120" s="116">
        <f>IFERROR((AX114/'Accom_Phase Schedule'!$C65)-(AND(AX102&gt;AW102,AX102&gt;1))*($E$104/52)*12*$E$103,0)</f>
        <v>0.97777777777777775</v>
      </c>
      <c r="AY120" s="116">
        <f>IFERROR((AY114/'Accom_Phase Schedule'!$C65)-(AND(AY102&gt;AX102,AY102&gt;1))*($E$104/52)*12*$E$103,0)</f>
        <v>0.97777777777777775</v>
      </c>
      <c r="AZ120" s="116">
        <f>IFERROR((AZ114/'Accom_Phase Schedule'!$C65)-(AND(AZ102&gt;AY102,AZ102&gt;1))*($E$104/52)*12*$E$103,0)</f>
        <v>0.97777777777777775</v>
      </c>
      <c r="BA120" s="116">
        <f>IFERROR((BA114/'Accom_Phase Schedule'!$C65)-(AND(BA102&gt;AZ102,BA102&gt;1))*($E$104/52)*12*$E$103,0)</f>
        <v>0</v>
      </c>
      <c r="BB120" s="116">
        <f>IFERROR((BB114/'Accom_Phase Schedule'!$C65)-(AND(BB102&gt;BA102,BB102&gt;1))*($E$104/52)*12*$E$103,0)</f>
        <v>0</v>
      </c>
      <c r="BC120" s="117">
        <f>IFERROR((BC114/'Accom_Phase Schedule'!$C65)-(AND(BC102&gt;BB102,BC102&gt;1))*($E$104/52)*12*$E$103,0)</f>
        <v>0</v>
      </c>
    </row>
    <row r="121" spans="8:56" x14ac:dyDescent="0.25">
      <c r="H121" s="106" t="s">
        <v>127</v>
      </c>
      <c r="I121" s="107"/>
      <c r="J121" s="108"/>
      <c r="K121" s="116">
        <f>IFERROR((K115/'Accom_Phase Schedule'!$C66)-(AND(K103&gt;J103,K103&gt;1))*($E$104/52)*12*$E$103,0)</f>
        <v>0</v>
      </c>
      <c r="L121" s="116">
        <f>IFERROR((L115/'Accom_Phase Schedule'!$C66)-(AND(L103&gt;K103,L103&gt;1))*($E$104/52)*12*$E$103,0)</f>
        <v>0</v>
      </c>
      <c r="M121" s="116">
        <f>IFERROR((M115/'Accom_Phase Schedule'!$C66)-(AND(M103&gt;L103,M103&gt;1))*($E$104/52)*12*$E$103,0)</f>
        <v>0</v>
      </c>
      <c r="N121" s="116">
        <f>IFERROR((N115/'Accom_Phase Schedule'!$C66)-(AND(N103&gt;M103,N103&gt;1))*($E$104/52)*12*$E$103,0)</f>
        <v>0</v>
      </c>
      <c r="O121" s="116">
        <f>IFERROR((O115/'Accom_Phase Schedule'!$C66)-(AND(O103&gt;N103,O103&gt;1))*($E$104/52)*12*$E$103,0)</f>
        <v>0</v>
      </c>
      <c r="P121" s="116">
        <f>IFERROR((P115/'Accom_Phase Schedule'!$C66)-(AND(P103&gt;O103,P103&gt;1))*($E$104/52)*12*$E$103,0)</f>
        <v>0</v>
      </c>
      <c r="Q121" s="116">
        <f>IFERROR((Q115/'Accom_Phase Schedule'!$C66)-(AND(Q103&gt;P103,Q103&gt;1))*($E$104/52)*12*$E$103,0)</f>
        <v>0</v>
      </c>
      <c r="R121" s="116">
        <f>IFERROR((R115/'Accom_Phase Schedule'!$C66)-(AND(R103&gt;Q103,R103&gt;1))*($E$104/52)*12*$E$103,0)</f>
        <v>0</v>
      </c>
      <c r="S121" s="116">
        <f>IFERROR((S115/'Accom_Phase Schedule'!$C66)-(AND(S103&gt;R103,S103&gt;1))*($E$104/52)*12*$E$103,0)</f>
        <v>0</v>
      </c>
      <c r="T121" s="116">
        <f>IFERROR((T115/'Accom_Phase Schedule'!$C66)-(AND(T103&gt;S103,T103&gt;1))*($E$104/52)*12*$E$103,0)</f>
        <v>0</v>
      </c>
      <c r="U121" s="116">
        <f>IFERROR((U115/'Accom_Phase Schedule'!$C66)-(AND(U103&gt;T103,U103&gt;1))*($E$104/52)*12*$E$103,0)</f>
        <v>0</v>
      </c>
      <c r="V121" s="116">
        <f>IFERROR((V115/'Accom_Phase Schedule'!$C66)-(AND(V103&gt;U103,V103&gt;1))*($E$104/52)*12*$E$103,0)</f>
        <v>0</v>
      </c>
      <c r="W121" s="116">
        <f>IFERROR((W115/'Accom_Phase Schedule'!$C66)-(AND(W103&gt;V103,W103&gt;1))*($E$104/52)*12*$E$103,0)</f>
        <v>0</v>
      </c>
      <c r="X121" s="116">
        <f>IFERROR((X115/'Accom_Phase Schedule'!$C66)-(AND(X103&gt;W103,X103&gt;1))*($E$104/52)*12*$E$103,0)</f>
        <v>0.25555555555555554</v>
      </c>
      <c r="Y121" s="116">
        <f>IFERROR((Y115/'Accom_Phase Schedule'!$C66)-(AND(Y103&gt;X103,Y103&gt;1))*($E$104/52)*12*$E$103,0)</f>
        <v>0.51111111111111107</v>
      </c>
      <c r="Z121" s="116">
        <f>IFERROR((Z115/'Accom_Phase Schedule'!$C66)-(AND(Z103&gt;Y103,Z103&gt;1))*($E$104/52)*12*$E$103,0)</f>
        <v>0.76666666666666672</v>
      </c>
      <c r="AA121" s="116">
        <f>IFERROR((AA115/'Accom_Phase Schedule'!$C66)-(AND(AA103&gt;Z103,AA103&gt;1))*($E$104/52)*12*$E$103,0)</f>
        <v>0.97777777777777775</v>
      </c>
      <c r="AB121" s="116">
        <f>IFERROR((AB115/'Accom_Phase Schedule'!$C66)-(AND(AB103&gt;AA103,AB103&gt;1))*($E$104/52)*12*$E$103,0)</f>
        <v>0.97777777777777775</v>
      </c>
      <c r="AC121" s="116">
        <f>IFERROR((AC115/'Accom_Phase Schedule'!$C66)-(AND(AC103&gt;AB103,AC103&gt;1))*($E$104/52)*12*$E$103,0)</f>
        <v>0.97777777777777775</v>
      </c>
      <c r="AD121" s="116">
        <f>IFERROR((AD115/'Accom_Phase Schedule'!$C66)-(AND(AD103&gt;AC103,AD103&gt;1))*($E$104/52)*12*$E$103,0)</f>
        <v>0.97777777777777775</v>
      </c>
      <c r="AE121" s="116">
        <f>IFERROR((AE115/'Accom_Phase Schedule'!$C66)-(AND(AE103&gt;AD103,AE103&gt;1))*($E$104/52)*12*$E$103,0)</f>
        <v>0.97777777777777775</v>
      </c>
      <c r="AF121" s="116">
        <f>IFERROR((AF115/'Accom_Phase Schedule'!$C66)-(AND(AF103&gt;AE103,AF103&gt;1))*($E$104/52)*12*$E$103,0)</f>
        <v>0.97777777777777775</v>
      </c>
      <c r="AG121" s="116">
        <f>IFERROR((AG115/'Accom_Phase Schedule'!$C66)-(AND(AG103&gt;AF103,AG103&gt;1))*($E$104/52)*12*$E$103,0)</f>
        <v>0.97777777777777775</v>
      </c>
      <c r="AH121" s="116">
        <f>IFERROR((AH115/'Accom_Phase Schedule'!$C66)-(AND(AH103&gt;AG103,AH103&gt;1))*($E$104/52)*12*$E$103,0)</f>
        <v>0.97777777777777775</v>
      </c>
      <c r="AI121" s="116">
        <f>IFERROR((AI115/'Accom_Phase Schedule'!$C66)-(AND(AI103&gt;AH103,AI103&gt;1))*($E$104/52)*12*$E$103,0)</f>
        <v>0.97777777777777775</v>
      </c>
      <c r="AJ121" s="116">
        <f>IFERROR((AJ115/'Accom_Phase Schedule'!$C66)-(AND(AJ103&gt;AI103,AJ103&gt;1))*($E$104/52)*12*$E$103,0)</f>
        <v>0.94316239316239314</v>
      </c>
      <c r="AK121" s="116">
        <f>IFERROR((AK115/'Accom_Phase Schedule'!$C66)-(AND(AK103&gt;AJ103,AK103&gt;1))*($E$104/52)*12*$E$103,0)</f>
        <v>0.97777777777777775</v>
      </c>
      <c r="AL121" s="116">
        <f>IFERROR((AL115/'Accom_Phase Schedule'!$C66)-(AND(AL103&gt;AK103,AL103&gt;1))*($E$104/52)*12*$E$103,0)</f>
        <v>0.97777777777777775</v>
      </c>
      <c r="AM121" s="116">
        <f>IFERROR((AM115/'Accom_Phase Schedule'!$C66)-(AND(AM103&gt;AL103,AM103&gt;1))*($E$104/52)*12*$E$103,0)</f>
        <v>0.97777777777777775</v>
      </c>
      <c r="AN121" s="116">
        <f>IFERROR((AN115/'Accom_Phase Schedule'!$C66)-(AND(AN103&gt;AM103,AN103&gt;1))*($E$104/52)*12*$E$103,0)</f>
        <v>0.97777777777777775</v>
      </c>
      <c r="AO121" s="116">
        <f>IFERROR((AO115/'Accom_Phase Schedule'!$C66)-(AND(AO103&gt;AN103,AO103&gt;1))*($E$104/52)*12*$E$103,0)</f>
        <v>0.97777777777777775</v>
      </c>
      <c r="AP121" s="116">
        <f>IFERROR((AP115/'Accom_Phase Schedule'!$C66)-(AND(AP103&gt;AO103,AP103&gt;1))*($E$104/52)*12*$E$103,0)</f>
        <v>0.97777777777777775</v>
      </c>
      <c r="AQ121" s="116">
        <f>IFERROR((AQ115/'Accom_Phase Schedule'!$C66)-(AND(AQ103&gt;AP103,AQ103&gt;1))*($E$104/52)*12*$E$103,0)</f>
        <v>0.97777777777777775</v>
      </c>
      <c r="AR121" s="116">
        <f>IFERROR((AR115/'Accom_Phase Schedule'!$C66)-(AND(AR103&gt;AQ103,AR103&gt;1))*($E$104/52)*12*$E$103,0)</f>
        <v>0.97777777777777775</v>
      </c>
      <c r="AS121" s="116">
        <f>IFERROR((AS115/'Accom_Phase Schedule'!$C66)-(AND(AS103&gt;AR103,AS103&gt;1))*($E$104/52)*12*$E$103,0)</f>
        <v>0.97777777777777775</v>
      </c>
      <c r="AT121" s="116">
        <f>IFERROR((AT115/'Accom_Phase Schedule'!$C66)-(AND(AT103&gt;AS103,AT103&gt;1))*($E$104/52)*12*$E$103,0)</f>
        <v>0.97777777777777775</v>
      </c>
      <c r="AU121" s="116">
        <f>IFERROR((AU115/'Accom_Phase Schedule'!$C66)-(AND(AU103&gt;AT103,AU103&gt;1))*($E$104/52)*12*$E$103,0)</f>
        <v>0.97777777777777775</v>
      </c>
      <c r="AV121" s="116">
        <f>IFERROR((AV115/'Accom_Phase Schedule'!$C66)-(AND(AV103&gt;AU103,AV103&gt;1))*($E$104/52)*12*$E$103,0)</f>
        <v>0.94316239316239314</v>
      </c>
      <c r="AW121" s="116">
        <f>IFERROR((AW115/'Accom_Phase Schedule'!$C66)-(AND(AW103&gt;AV103,AW103&gt;1))*($E$104/52)*12*$E$103,0)</f>
        <v>0.97777777777777775</v>
      </c>
      <c r="AX121" s="116">
        <f>IFERROR((AX115/'Accom_Phase Schedule'!$C66)-(AND(AX103&gt;AW103,AX103&gt;1))*($E$104/52)*12*$E$103,0)</f>
        <v>0.97777777777777775</v>
      </c>
      <c r="AY121" s="116">
        <f>IFERROR((AY115/'Accom_Phase Schedule'!$C66)-(AND(AY103&gt;AX103,AY103&gt;1))*($E$104/52)*12*$E$103,0)</f>
        <v>0.97777777777777775</v>
      </c>
      <c r="AZ121" s="116">
        <f>IFERROR((AZ115/'Accom_Phase Schedule'!$C66)-(AND(AZ103&gt;AY103,AZ103&gt;1))*($E$104/52)*12*$E$103,0)</f>
        <v>0.97777777777777775</v>
      </c>
      <c r="BA121" s="116">
        <f>IFERROR((BA115/'Accom_Phase Schedule'!$C66)-(AND(BA103&gt;AZ103,BA103&gt;1))*($E$104/52)*12*$E$103,0)</f>
        <v>0</v>
      </c>
      <c r="BB121" s="116">
        <f>IFERROR((BB115/'Accom_Phase Schedule'!$C66)-(AND(BB103&gt;BA103,BB103&gt;1))*($E$104/52)*12*$E$103,0)</f>
        <v>0</v>
      </c>
      <c r="BC121" s="117">
        <f>IFERROR((BC115/'Accom_Phase Schedule'!$C66)-(AND(BC103&gt;BB103,BC103&gt;1))*($E$104/52)*12*$E$103,0)</f>
        <v>0</v>
      </c>
    </row>
    <row r="122" spans="8:56" x14ac:dyDescent="0.25">
      <c r="H122" s="106" t="s">
        <v>128</v>
      </c>
      <c r="I122" s="107"/>
      <c r="J122" s="108"/>
      <c r="K122" s="116">
        <f>IFERROR((K116/'Accom_Phase Schedule'!$C67)-(AND(K104&gt;J104,K104&gt;1))*($E$104/52)*12*$E$103,0)</f>
        <v>0</v>
      </c>
      <c r="L122" s="116">
        <f>IFERROR((L116/'Accom_Phase Schedule'!$C67)-(AND(L104&gt;K104,L104&gt;1))*($E$104/52)*12*$E$103,0)</f>
        <v>0</v>
      </c>
      <c r="M122" s="116">
        <f>IFERROR((M116/'Accom_Phase Schedule'!$C67)-(AND(M104&gt;L104,M104&gt;1))*($E$104/52)*12*$E$103,0)</f>
        <v>0</v>
      </c>
      <c r="N122" s="116">
        <f>IFERROR((N116/'Accom_Phase Schedule'!$C67)-(AND(N104&gt;M104,N104&gt;1))*($E$104/52)*12*$E$103,0)</f>
        <v>0</v>
      </c>
      <c r="O122" s="116">
        <f>IFERROR((O116/'Accom_Phase Schedule'!$C67)-(AND(O104&gt;N104,O104&gt;1))*($E$104/52)*12*$E$103,0)</f>
        <v>0</v>
      </c>
      <c r="P122" s="116">
        <f>IFERROR((P116/'Accom_Phase Schedule'!$C67)-(AND(P104&gt;O104,P104&gt;1))*($E$104/52)*12*$E$103,0)</f>
        <v>0</v>
      </c>
      <c r="Q122" s="116">
        <f>IFERROR((Q116/'Accom_Phase Schedule'!$C67)-(AND(Q104&gt;P104,Q104&gt;1))*($E$104/52)*12*$E$103,0)</f>
        <v>0</v>
      </c>
      <c r="R122" s="116">
        <f>IFERROR((R116/'Accom_Phase Schedule'!$C67)-(AND(R104&gt;Q104,R104&gt;1))*($E$104/52)*12*$E$103,0)</f>
        <v>0</v>
      </c>
      <c r="S122" s="116">
        <f>IFERROR((S116/'Accom_Phase Schedule'!$C67)-(AND(S104&gt;R104,S104&gt;1))*($E$104/52)*12*$E$103,0)</f>
        <v>0</v>
      </c>
      <c r="T122" s="116">
        <f>IFERROR((T116/'Accom_Phase Schedule'!$C67)-(AND(T104&gt;S104,T104&gt;1))*($E$104/52)*12*$E$103,0)</f>
        <v>0</v>
      </c>
      <c r="U122" s="116">
        <f>IFERROR((U116/'Accom_Phase Schedule'!$C67)-(AND(U104&gt;T104,U104&gt;1))*($E$104/52)*12*$E$103,0)</f>
        <v>0</v>
      </c>
      <c r="V122" s="116">
        <f>IFERROR((V116/'Accom_Phase Schedule'!$C67)-(AND(V104&gt;U104,V104&gt;1))*($E$104/52)*12*$E$103,0)</f>
        <v>0</v>
      </c>
      <c r="W122" s="116">
        <f>IFERROR((W116/'Accom_Phase Schedule'!$C67)-(AND(W104&gt;V104,W104&gt;1))*($E$104/52)*12*$E$103,0)</f>
        <v>0</v>
      </c>
      <c r="X122" s="116">
        <f>IFERROR((X116/'Accom_Phase Schedule'!$C67)-(AND(X104&gt;W104,X104&gt;1))*($E$104/52)*12*$E$103,0)</f>
        <v>0</v>
      </c>
      <c r="Y122" s="116">
        <f>IFERROR((Y116/'Accom_Phase Schedule'!$C67)-(AND(Y104&gt;X104,Y104&gt;1))*($E$104/52)*12*$E$103,0)</f>
        <v>0</v>
      </c>
      <c r="Z122" s="116">
        <f>IFERROR((Z116/'Accom_Phase Schedule'!$C67)-(AND(Z104&gt;Y104,Z104&gt;1))*($E$104/52)*12*$E$103,0)</f>
        <v>0</v>
      </c>
      <c r="AA122" s="116">
        <f>IFERROR((AA116/'Accom_Phase Schedule'!$C67)-(AND(AA104&gt;Z104,AA104&gt;1))*($E$104/52)*12*$E$103,0)</f>
        <v>0</v>
      </c>
      <c r="AB122" s="116">
        <f>IFERROR((AB116/'Accom_Phase Schedule'!$C67)-(AND(AB104&gt;AA104,AB104&gt;1))*($E$104/52)*12*$E$103,0)</f>
        <v>0</v>
      </c>
      <c r="AC122" s="116">
        <f>IFERROR((AC116/'Accom_Phase Schedule'!$C67)-(AND(AC104&gt;AB104,AC104&gt;1))*($E$104/52)*12*$E$103,0)</f>
        <v>0.25555555555555554</v>
      </c>
      <c r="AD122" s="116">
        <f>IFERROR((AD116/'Accom_Phase Schedule'!$C67)-(AND(AD104&gt;AC104,AD104&gt;1))*($E$104/52)*12*$E$103,0)</f>
        <v>0.51111111111111107</v>
      </c>
      <c r="AE122" s="116">
        <f>IFERROR((AE116/'Accom_Phase Schedule'!$C67)-(AND(AE104&gt;AD104,AE104&gt;1))*($E$104/52)*12*$E$103,0)</f>
        <v>0.76666666666666672</v>
      </c>
      <c r="AF122" s="116">
        <f>IFERROR((AF116/'Accom_Phase Schedule'!$C67)-(AND(AF104&gt;AE104,AF104&gt;1))*($E$104/52)*12*$E$103,0)</f>
        <v>0.97777777777777775</v>
      </c>
      <c r="AG122" s="116">
        <f>IFERROR((AG116/'Accom_Phase Schedule'!$C67)-(AND(AG104&gt;AF104,AG104&gt;1))*($E$104/52)*12*$E$103,0)</f>
        <v>0.97777777777777775</v>
      </c>
      <c r="AH122" s="116">
        <f>IFERROR((AH116/'Accom_Phase Schedule'!$C67)-(AND(AH104&gt;AG104,AH104&gt;1))*($E$104/52)*12*$E$103,0)</f>
        <v>0.97777777777777775</v>
      </c>
      <c r="AI122" s="116">
        <f>IFERROR((AI116/'Accom_Phase Schedule'!$C67)-(AND(AI104&gt;AH104,AI104&gt;1))*($E$104/52)*12*$E$103,0)</f>
        <v>0.97777777777777775</v>
      </c>
      <c r="AJ122" s="116">
        <f>IFERROR((AJ116/'Accom_Phase Schedule'!$C67)-(AND(AJ104&gt;AI104,AJ104&gt;1))*($E$104/52)*12*$E$103,0)</f>
        <v>0.97777777777777775</v>
      </c>
      <c r="AK122" s="116">
        <f>IFERROR((AK116/'Accom_Phase Schedule'!$C67)-(AND(AK104&gt;AJ104,AK104&gt;1))*($E$104/52)*12*$E$103,0)</f>
        <v>0.97777777777777775</v>
      </c>
      <c r="AL122" s="116">
        <f>IFERROR((AL116/'Accom_Phase Schedule'!$C67)-(AND(AL104&gt;AK104,AL104&gt;1))*($E$104/52)*12*$E$103,0)</f>
        <v>0.97777777777777775</v>
      </c>
      <c r="AM122" s="116">
        <f>IFERROR((AM116/'Accom_Phase Schedule'!$C67)-(AND(AM104&gt;AL104,AM104&gt;1))*($E$104/52)*12*$E$103,0)</f>
        <v>0.97777777777777775</v>
      </c>
      <c r="AN122" s="116">
        <f>IFERROR((AN116/'Accom_Phase Schedule'!$C67)-(AND(AN104&gt;AM104,AN104&gt;1))*($E$104/52)*12*$E$103,0)</f>
        <v>0.97777777777777775</v>
      </c>
      <c r="AO122" s="116">
        <f>IFERROR((AO116/'Accom_Phase Schedule'!$C67)-(AND(AO104&gt;AN104,AO104&gt;1))*($E$104/52)*12*$E$103,0)</f>
        <v>0.94316239316239314</v>
      </c>
      <c r="AP122" s="116">
        <f>IFERROR((AP116/'Accom_Phase Schedule'!$C67)-(AND(AP104&gt;AO104,AP104&gt;1))*($E$104/52)*12*$E$103,0)</f>
        <v>0.97777777777777775</v>
      </c>
      <c r="AQ122" s="116">
        <f>IFERROR((AQ116/'Accom_Phase Schedule'!$C67)-(AND(AQ104&gt;AP104,AQ104&gt;1))*($E$104/52)*12*$E$103,0)</f>
        <v>0.97777777777777775</v>
      </c>
      <c r="AR122" s="116">
        <f>IFERROR((AR116/'Accom_Phase Schedule'!$C67)-(AND(AR104&gt;AQ104,AR104&gt;1))*($E$104/52)*12*$E$103,0)</f>
        <v>0.97777777777777775</v>
      </c>
      <c r="AS122" s="116">
        <f>IFERROR((AS116/'Accom_Phase Schedule'!$C67)-(AND(AS104&gt;AR104,AS104&gt;1))*($E$104/52)*12*$E$103,0)</f>
        <v>0.97777777777777775</v>
      </c>
      <c r="AT122" s="116">
        <f>IFERROR((AT116/'Accom_Phase Schedule'!$C67)-(AND(AT104&gt;AS104,AT104&gt;1))*($E$104/52)*12*$E$103,0)</f>
        <v>0.97777777777777775</v>
      </c>
      <c r="AU122" s="116">
        <f>IFERROR((AU116/'Accom_Phase Schedule'!$C67)-(AND(AU104&gt;AT104,AU104&gt;1))*($E$104/52)*12*$E$103,0)</f>
        <v>0.97777777777777775</v>
      </c>
      <c r="AV122" s="116">
        <f>IFERROR((AV116/'Accom_Phase Schedule'!$C67)-(AND(AV104&gt;AU104,AV104&gt;1))*($E$104/52)*12*$E$103,0)</f>
        <v>0.97777777777777775</v>
      </c>
      <c r="AW122" s="116">
        <f>IFERROR((AW116/'Accom_Phase Schedule'!$C67)-(AND(AW104&gt;AV104,AW104&gt;1))*($E$104/52)*12*$E$103,0)</f>
        <v>0.97777777777777775</v>
      </c>
      <c r="AX122" s="116">
        <f>IFERROR((AX116/'Accom_Phase Schedule'!$C67)-(AND(AX104&gt;AW104,AX104&gt;1))*($E$104/52)*12*$E$103,0)</f>
        <v>0.97777777777777775</v>
      </c>
      <c r="AY122" s="116">
        <f>IFERROR((AY116/'Accom_Phase Schedule'!$C67)-(AND(AY104&gt;AX104,AY104&gt;1))*($E$104/52)*12*$E$103,0)</f>
        <v>0.97777777777777775</v>
      </c>
      <c r="AZ122" s="116">
        <f>IFERROR((AZ116/'Accom_Phase Schedule'!$C67)-(AND(AZ104&gt;AY104,AZ104&gt;1))*($E$104/52)*12*$E$103,0)</f>
        <v>0.97777777777777775</v>
      </c>
      <c r="BA122" s="116">
        <f>IFERROR((BA116/'Accom_Phase Schedule'!$C67)-(AND(BA104&gt;AZ104,BA104&gt;1))*($E$104/52)*12*$E$103,0)</f>
        <v>0</v>
      </c>
      <c r="BB122" s="116">
        <f>IFERROR((BB116/'Accom_Phase Schedule'!$C67)-(AND(BB104&gt;BA104,BB104&gt;1))*($E$104/52)*12*$E$103,0)</f>
        <v>0</v>
      </c>
      <c r="BC122" s="117">
        <f>IFERROR((BC116/'Accom_Phase Schedule'!$C67)-(AND(BC104&gt;BB104,BC104&gt;1))*($E$104/52)*12*$E$103,0)</f>
        <v>0</v>
      </c>
    </row>
    <row r="123" spans="8:56" x14ac:dyDescent="0.25">
      <c r="H123" s="106" t="s">
        <v>129</v>
      </c>
      <c r="I123" s="107"/>
      <c r="J123" s="108"/>
      <c r="K123" s="116">
        <f>IFERROR((K117/'Accom_Phase Schedule'!$C68)-(AND(K105&gt;J105,K105&gt;1))*($E$104/52)*12*$E$103,0)</f>
        <v>0</v>
      </c>
      <c r="L123" s="116">
        <f>IFERROR((L117/'Accom_Phase Schedule'!$C68)-(AND(L105&gt;K105,L105&gt;1))*($E$104/52)*12*$E$103,0)</f>
        <v>0</v>
      </c>
      <c r="M123" s="116">
        <f>IFERROR((M117/'Accom_Phase Schedule'!$C68)-(AND(M105&gt;L105,M105&gt;1))*($E$104/52)*12*$E$103,0)</f>
        <v>0</v>
      </c>
      <c r="N123" s="116">
        <f>IFERROR((N117/'Accom_Phase Schedule'!$C68)-(AND(N105&gt;M105,N105&gt;1))*($E$104/52)*12*$E$103,0)</f>
        <v>0</v>
      </c>
      <c r="O123" s="116">
        <f>IFERROR((O117/'Accom_Phase Schedule'!$C68)-(AND(O105&gt;N105,O105&gt;1))*($E$104/52)*12*$E$103,0)</f>
        <v>0</v>
      </c>
      <c r="P123" s="116">
        <f>IFERROR((P117/'Accom_Phase Schedule'!$C68)-(AND(P105&gt;O105,P105&gt;1))*($E$104/52)*12*$E$103,0)</f>
        <v>0</v>
      </c>
      <c r="Q123" s="116">
        <f>IFERROR((Q117/'Accom_Phase Schedule'!$C68)-(AND(Q105&gt;P105,Q105&gt;1))*($E$104/52)*12*$E$103,0)</f>
        <v>0</v>
      </c>
      <c r="R123" s="116">
        <f>IFERROR((R117/'Accom_Phase Schedule'!$C68)-(AND(R105&gt;Q105,R105&gt;1))*($E$104/52)*12*$E$103,0)</f>
        <v>0</v>
      </c>
      <c r="S123" s="116">
        <f>IFERROR((S117/'Accom_Phase Schedule'!$C68)-(AND(S105&gt;R105,S105&gt;1))*($E$104/52)*12*$E$103,0)</f>
        <v>0</v>
      </c>
      <c r="T123" s="116">
        <f>IFERROR((T117/'Accom_Phase Schedule'!$C68)-(AND(T105&gt;S105,T105&gt;1))*($E$104/52)*12*$E$103,0)</f>
        <v>0</v>
      </c>
      <c r="U123" s="116">
        <f>IFERROR((U117/'Accom_Phase Schedule'!$C68)-(AND(U105&gt;T105,U105&gt;1))*($E$104/52)*12*$E$103,0)</f>
        <v>0</v>
      </c>
      <c r="V123" s="116">
        <f>IFERROR((V117/'Accom_Phase Schedule'!$C68)-(AND(V105&gt;U105,V105&gt;1))*($E$104/52)*12*$E$103,0)</f>
        <v>0</v>
      </c>
      <c r="W123" s="116">
        <f>IFERROR((W117/'Accom_Phase Schedule'!$C68)-(AND(W105&gt;V105,W105&gt;1))*($E$104/52)*12*$E$103,0)</f>
        <v>0</v>
      </c>
      <c r="X123" s="116">
        <f>IFERROR((X117/'Accom_Phase Schedule'!$C68)-(AND(X105&gt;W105,X105&gt;1))*($E$104/52)*12*$E$103,0)</f>
        <v>0</v>
      </c>
      <c r="Y123" s="116">
        <f>IFERROR((Y117/'Accom_Phase Schedule'!$C68)-(AND(Y105&gt;X105,Y105&gt;1))*($E$104/52)*12*$E$103,0)</f>
        <v>0</v>
      </c>
      <c r="Z123" s="116">
        <f>IFERROR((Z117/'Accom_Phase Schedule'!$C68)-(AND(Z105&gt;Y105,Z105&gt;1))*($E$104/52)*12*$E$103,0)</f>
        <v>0</v>
      </c>
      <c r="AA123" s="116">
        <f>IFERROR((AA117/'Accom_Phase Schedule'!$C68)-(AND(AA105&gt;Z105,AA105&gt;1))*($E$104/52)*12*$E$103,0)</f>
        <v>0</v>
      </c>
      <c r="AB123" s="116">
        <f>IFERROR((AB117/'Accom_Phase Schedule'!$C68)-(AND(AB105&gt;AA105,AB105&gt;1))*($E$104/52)*12*$E$103,0)</f>
        <v>0</v>
      </c>
      <c r="AC123" s="116">
        <f>IFERROR((AC117/'Accom_Phase Schedule'!$C68)-(AND(AC105&gt;AB105,AC105&gt;1))*($E$104/52)*12*$E$103,0)</f>
        <v>0</v>
      </c>
      <c r="AD123" s="116">
        <f>IFERROR((AD117/'Accom_Phase Schedule'!$C68)-(AND(AD105&gt;AC105,AD105&gt;1))*($E$104/52)*12*$E$103,0)</f>
        <v>0</v>
      </c>
      <c r="AE123" s="116">
        <f>IFERROR((AE117/'Accom_Phase Schedule'!$C68)-(AND(AE105&gt;AD105,AE105&gt;1))*($E$104/52)*12*$E$103,0)</f>
        <v>0</v>
      </c>
      <c r="AF123" s="116">
        <f>IFERROR((AF117/'Accom_Phase Schedule'!$C68)-(AND(AF105&gt;AE105,AF105&gt;1))*($E$104/52)*12*$E$103,0)</f>
        <v>0</v>
      </c>
      <c r="AG123" s="116">
        <f>IFERROR((AG117/'Accom_Phase Schedule'!$C68)-(AND(AG105&gt;AF105,AG105&gt;1))*($E$104/52)*12*$E$103,0)</f>
        <v>0</v>
      </c>
      <c r="AH123" s="116">
        <f>IFERROR((AH117/'Accom_Phase Schedule'!$C68)-(AND(AH105&gt;AG105,AH105&gt;1))*($E$104/52)*12*$E$103,0)</f>
        <v>0</v>
      </c>
      <c r="AI123" s="116">
        <f>IFERROR((AI117/'Accom_Phase Schedule'!$C68)-(AND(AI105&gt;AH105,AI105&gt;1))*($E$104/52)*12*$E$103,0)</f>
        <v>0.25555555555555554</v>
      </c>
      <c r="AJ123" s="116">
        <f>IFERROR((AJ117/'Accom_Phase Schedule'!$C68)-(AND(AJ105&gt;AI105,AJ105&gt;1))*($E$104/52)*12*$E$103,0)</f>
        <v>0.51111111111111107</v>
      </c>
      <c r="AK123" s="116">
        <f>IFERROR((AK117/'Accom_Phase Schedule'!$C68)-(AND(AK105&gt;AJ105,AK105&gt;1))*($E$104/52)*12*$E$103,0)</f>
        <v>0.76666666666666672</v>
      </c>
      <c r="AL123" s="116">
        <f>IFERROR((AL117/'Accom_Phase Schedule'!$C68)-(AND(AL105&gt;AK105,AL105&gt;1))*($E$104/52)*12*$E$103,0)</f>
        <v>0.97777777777777775</v>
      </c>
      <c r="AM123" s="116">
        <f>IFERROR((AM117/'Accom_Phase Schedule'!$C68)-(AND(AM105&gt;AL105,AM105&gt;1))*($E$104/52)*12*$E$103,0)</f>
        <v>0.97777777777777775</v>
      </c>
      <c r="AN123" s="116">
        <f>IFERROR((AN117/'Accom_Phase Schedule'!$C68)-(AND(AN105&gt;AM105,AN105&gt;1))*($E$104/52)*12*$E$103,0)</f>
        <v>0.97777777777777775</v>
      </c>
      <c r="AO123" s="116">
        <f>IFERROR((AO117/'Accom_Phase Schedule'!$C68)-(AND(AO105&gt;AN105,AO105&gt;1))*($E$104/52)*12*$E$103,0)</f>
        <v>0.97777777777777775</v>
      </c>
      <c r="AP123" s="116">
        <f>IFERROR((AP117/'Accom_Phase Schedule'!$C68)-(AND(AP105&gt;AO105,AP105&gt;1))*($E$104/52)*12*$E$103,0)</f>
        <v>0.97777777777777775</v>
      </c>
      <c r="AQ123" s="116">
        <f>IFERROR((AQ117/'Accom_Phase Schedule'!$C68)-(AND(AQ105&gt;AP105,AQ105&gt;1))*($E$104/52)*12*$E$103,0)</f>
        <v>0.97777777777777775</v>
      </c>
      <c r="AR123" s="116">
        <f>IFERROR((AR117/'Accom_Phase Schedule'!$C68)-(AND(AR105&gt;AQ105,AR105&gt;1))*($E$104/52)*12*$E$103,0)</f>
        <v>0.97777777777777775</v>
      </c>
      <c r="AS123" s="116">
        <f>IFERROR((AS117/'Accom_Phase Schedule'!$C68)-(AND(AS105&gt;AR105,AS105&gt;1))*($E$104/52)*12*$E$103,0)</f>
        <v>0.97777777777777775</v>
      </c>
      <c r="AT123" s="116">
        <f>IFERROR((AT117/'Accom_Phase Schedule'!$C68)-(AND(AT105&gt;AS105,AT105&gt;1))*($E$104/52)*12*$E$103,0)</f>
        <v>0.97777777777777775</v>
      </c>
      <c r="AU123" s="116">
        <f>IFERROR((AU117/'Accom_Phase Schedule'!$C68)-(AND(AU105&gt;AT105,AU105&gt;1))*($E$104/52)*12*$E$103,0)</f>
        <v>0.94316239316239314</v>
      </c>
      <c r="AV123" s="116">
        <f>IFERROR((AV117/'Accom_Phase Schedule'!$C68)-(AND(AV105&gt;AU105,AV105&gt;1))*($E$104/52)*12*$E$103,0)</f>
        <v>0.97777777777777775</v>
      </c>
      <c r="AW123" s="116">
        <f>IFERROR((AW117/'Accom_Phase Schedule'!$C68)-(AND(AW105&gt;AV105,AW105&gt;1))*($E$104/52)*12*$E$103,0)</f>
        <v>0.97777777777777775</v>
      </c>
      <c r="AX123" s="116">
        <f>IFERROR((AX117/'Accom_Phase Schedule'!$C68)-(AND(AX105&gt;AW105,AX105&gt;1))*($E$104/52)*12*$E$103,0)</f>
        <v>0.97777777777777775</v>
      </c>
      <c r="AY123" s="116">
        <f>IFERROR((AY117/'Accom_Phase Schedule'!$C68)-(AND(AY105&gt;AX105,AY105&gt;1))*($E$104/52)*12*$E$103,0)</f>
        <v>0.97777777777777775</v>
      </c>
      <c r="AZ123" s="116">
        <f>IFERROR((AZ117/'Accom_Phase Schedule'!$C68)-(AND(AZ105&gt;AY105,AZ105&gt;1))*($E$104/52)*12*$E$103,0)</f>
        <v>0.97777777777777775</v>
      </c>
      <c r="BA123" s="116">
        <f>IFERROR((BA117/'Accom_Phase Schedule'!$C68)-(AND(BA105&gt;AZ105,BA105&gt;1))*($E$104/52)*12*$E$103,0)</f>
        <v>0</v>
      </c>
      <c r="BB123" s="116">
        <f>IFERROR((BB117/'Accom_Phase Schedule'!$C68)-(AND(BB105&gt;BA105,BB105&gt;1))*($E$104/52)*12*$E$103,0)</f>
        <v>0</v>
      </c>
      <c r="BC123" s="117">
        <f>IFERROR((BC117/'Accom_Phase Schedule'!$C68)-(AND(BC105&gt;BB105,BC105&gt;1))*($E$104/52)*12*$E$103,0)</f>
        <v>0</v>
      </c>
    </row>
    <row r="124" spans="8:56" x14ac:dyDescent="0.25">
      <c r="H124" s="106" t="s">
        <v>130</v>
      </c>
      <c r="I124" s="107"/>
      <c r="J124" s="108"/>
      <c r="K124" s="116">
        <f>IFERROR((K118/'Accom_Phase Schedule'!$C69)-(AND(K106&gt;J106,K106&gt;1))*($E$104/52)*12*$E$103,0)</f>
        <v>0</v>
      </c>
      <c r="L124" s="116">
        <f>IFERROR((L118/'Accom_Phase Schedule'!$C69)-(AND(L106&gt;K106,L106&gt;1))*($E$104/52)*12*$E$103,0)</f>
        <v>0</v>
      </c>
      <c r="M124" s="116">
        <f>IFERROR((M118/'Accom_Phase Schedule'!$C69)-(AND(M106&gt;L106,M106&gt;1))*($E$104/52)*12*$E$103,0)</f>
        <v>0</v>
      </c>
      <c r="N124" s="116">
        <f>IFERROR((N118/'Accom_Phase Schedule'!$C69)-(AND(N106&gt;M106,N106&gt;1))*($E$104/52)*12*$E$103,0)</f>
        <v>0</v>
      </c>
      <c r="O124" s="116">
        <f>IFERROR((O118/'Accom_Phase Schedule'!$C69)-(AND(O106&gt;N106,O106&gt;1))*($E$104/52)*12*$E$103,0)</f>
        <v>0</v>
      </c>
      <c r="P124" s="116">
        <f>IFERROR((P118/'Accom_Phase Schedule'!$C69)-(AND(P106&gt;O106,P106&gt;1))*($E$104/52)*12*$E$103,0)</f>
        <v>0</v>
      </c>
      <c r="Q124" s="116">
        <f>IFERROR((Q118/'Accom_Phase Schedule'!$C69)-(AND(Q106&gt;P106,Q106&gt;1))*($E$104/52)*12*$E$103,0)</f>
        <v>0</v>
      </c>
      <c r="R124" s="116">
        <f>IFERROR((R118/'Accom_Phase Schedule'!$C69)-(AND(R106&gt;Q106,R106&gt;1))*($E$104/52)*12*$E$103,0)</f>
        <v>0</v>
      </c>
      <c r="S124" s="116">
        <f>IFERROR((S118/'Accom_Phase Schedule'!$C69)-(AND(S106&gt;R106,S106&gt;1))*($E$104/52)*12*$E$103,0)</f>
        <v>0</v>
      </c>
      <c r="T124" s="116">
        <f>IFERROR((T118/'Accom_Phase Schedule'!$C69)-(AND(T106&gt;S106,T106&gt;1))*($E$104/52)*12*$E$103,0)</f>
        <v>0</v>
      </c>
      <c r="U124" s="116">
        <f>IFERROR((U118/'Accom_Phase Schedule'!$C69)-(AND(U106&gt;T106,U106&gt;1))*($E$104/52)*12*$E$103,0)</f>
        <v>0</v>
      </c>
      <c r="V124" s="116">
        <f>IFERROR((V118/'Accom_Phase Schedule'!$C69)-(AND(V106&gt;U106,V106&gt;1))*($E$104/52)*12*$E$103,0)</f>
        <v>0</v>
      </c>
      <c r="W124" s="116">
        <f>IFERROR((W118/'Accom_Phase Schedule'!$C69)-(AND(W106&gt;V106,W106&gt;1))*($E$104/52)*12*$E$103,0)</f>
        <v>0</v>
      </c>
      <c r="X124" s="116">
        <f>IFERROR((X118/'Accom_Phase Schedule'!$C69)-(AND(X106&gt;W106,X106&gt;1))*($E$104/52)*12*$E$103,0)</f>
        <v>0</v>
      </c>
      <c r="Y124" s="116">
        <f>IFERROR((Y118/'Accom_Phase Schedule'!$C69)-(AND(Y106&gt;X106,Y106&gt;1))*($E$104/52)*12*$E$103,0)</f>
        <v>0</v>
      </c>
      <c r="Z124" s="116">
        <f>IFERROR((Z118/'Accom_Phase Schedule'!$C69)-(AND(Z106&gt;Y106,Z106&gt;1))*($E$104/52)*12*$E$103,0)</f>
        <v>0</v>
      </c>
      <c r="AA124" s="116">
        <f>IFERROR((AA118/'Accom_Phase Schedule'!$C69)-(AND(AA106&gt;Z106,AA106&gt;1))*($E$104/52)*12*$E$103,0)</f>
        <v>0</v>
      </c>
      <c r="AB124" s="116">
        <f>IFERROR((AB118/'Accom_Phase Schedule'!$C69)-(AND(AB106&gt;AA106,AB106&gt;1))*($E$104/52)*12*$E$103,0)</f>
        <v>0</v>
      </c>
      <c r="AC124" s="116">
        <f>IFERROR((AC118/'Accom_Phase Schedule'!$C69)-(AND(AC106&gt;AB106,AC106&gt;1))*($E$104/52)*12*$E$103,0)</f>
        <v>0</v>
      </c>
      <c r="AD124" s="116">
        <f>IFERROR((AD118/'Accom_Phase Schedule'!$C69)-(AND(AD106&gt;AC106,AD106&gt;1))*($E$104/52)*12*$E$103,0)</f>
        <v>0</v>
      </c>
      <c r="AE124" s="116">
        <f>IFERROR((AE118/'Accom_Phase Schedule'!$C69)-(AND(AE106&gt;AD106,AE106&gt;1))*($E$104/52)*12*$E$103,0)</f>
        <v>0</v>
      </c>
      <c r="AF124" s="116">
        <f>IFERROR((AF118/'Accom_Phase Schedule'!$C69)-(AND(AF106&gt;AE106,AF106&gt;1))*($E$104/52)*12*$E$103,0)</f>
        <v>0</v>
      </c>
      <c r="AG124" s="116">
        <f>IFERROR((AG118/'Accom_Phase Schedule'!$C69)-(AND(AG106&gt;AF106,AG106&gt;1))*($E$104/52)*12*$E$103,0)</f>
        <v>0</v>
      </c>
      <c r="AH124" s="116">
        <f>IFERROR((AH118/'Accom_Phase Schedule'!$C69)-(AND(AH106&gt;AG106,AH106&gt;1))*($E$104/52)*12*$E$103,0)</f>
        <v>0</v>
      </c>
      <c r="AI124" s="116">
        <f>IFERROR((AI118/'Accom_Phase Schedule'!$C69)-(AND(AI106&gt;AH106,AI106&gt;1))*($E$104/52)*12*$E$103,0)</f>
        <v>0</v>
      </c>
      <c r="AJ124" s="116">
        <f>IFERROR((AJ118/'Accom_Phase Schedule'!$C69)-(AND(AJ106&gt;AI106,AJ106&gt;1))*($E$104/52)*12*$E$103,0)</f>
        <v>0</v>
      </c>
      <c r="AK124" s="116">
        <f>IFERROR((AK118/'Accom_Phase Schedule'!$C69)-(AND(AK106&gt;AJ106,AK106&gt;1))*($E$104/52)*12*$E$103,0)</f>
        <v>0</v>
      </c>
      <c r="AL124" s="116">
        <f>IFERROR((AL118/'Accom_Phase Schedule'!$C69)-(AND(AL106&gt;AK106,AL106&gt;1))*($E$104/52)*12*$E$103,0)</f>
        <v>0</v>
      </c>
      <c r="AM124" s="116">
        <f>IFERROR((AM118/'Accom_Phase Schedule'!$C69)-(AND(AM106&gt;AL106,AM106&gt;1))*($E$104/52)*12*$E$103,0)</f>
        <v>0</v>
      </c>
      <c r="AN124" s="116">
        <f>IFERROR((AN118/'Accom_Phase Schedule'!$C69)-(AND(AN106&gt;AM106,AN106&gt;1))*($E$104/52)*12*$E$103,0)</f>
        <v>0</v>
      </c>
      <c r="AO124" s="116">
        <f>IFERROR((AO118/'Accom_Phase Schedule'!$C69)-(AND(AO106&gt;AN106,AO106&gt;1))*($E$104/52)*12*$E$103,0)</f>
        <v>0.25555555555555554</v>
      </c>
      <c r="AP124" s="116">
        <f>IFERROR((AP118/'Accom_Phase Schedule'!$C69)-(AND(AP106&gt;AO106,AP106&gt;1))*($E$104/52)*12*$E$103,0)</f>
        <v>0.51111111111111107</v>
      </c>
      <c r="AQ124" s="116">
        <f>IFERROR((AQ118/'Accom_Phase Schedule'!$C69)-(AND(AQ106&gt;AP106,AQ106&gt;1))*($E$104/52)*12*$E$103,0)</f>
        <v>0.76666666666666672</v>
      </c>
      <c r="AR124" s="116">
        <f>IFERROR((AR118/'Accom_Phase Schedule'!$C69)-(AND(AR106&gt;AQ106,AR106&gt;1))*($E$104/52)*12*$E$103,0)</f>
        <v>0.97777777777777775</v>
      </c>
      <c r="AS124" s="116">
        <f>IFERROR((AS118/'Accom_Phase Schedule'!$C69)-(AND(AS106&gt;AR106,AS106&gt;1))*($E$104/52)*12*$E$103,0)</f>
        <v>0.97777777777777775</v>
      </c>
      <c r="AT124" s="116">
        <f>IFERROR((AT118/'Accom_Phase Schedule'!$C69)-(AND(AT106&gt;AS106,AT106&gt;1))*($E$104/52)*12*$E$103,0)</f>
        <v>0.97777777777777775</v>
      </c>
      <c r="AU124" s="116">
        <f>IFERROR((AU118/'Accom_Phase Schedule'!$C69)-(AND(AU106&gt;AT106,AU106&gt;1))*($E$104/52)*12*$E$103,0)</f>
        <v>0.97777777777777775</v>
      </c>
      <c r="AV124" s="116">
        <f>IFERROR((AV118/'Accom_Phase Schedule'!$C69)-(AND(AV106&gt;AU106,AV106&gt;1))*($E$104/52)*12*$E$103,0)</f>
        <v>0.97777777777777775</v>
      </c>
      <c r="AW124" s="116">
        <f>IFERROR((AW118/'Accom_Phase Schedule'!$C69)-(AND(AW106&gt;AV106,AW106&gt;1))*($E$104/52)*12*$E$103,0)</f>
        <v>0.97777777777777775</v>
      </c>
      <c r="AX124" s="116">
        <f>IFERROR((AX118/'Accom_Phase Schedule'!$C69)-(AND(AX106&gt;AW106,AX106&gt;1))*($E$104/52)*12*$E$103,0)</f>
        <v>0.97777777777777775</v>
      </c>
      <c r="AY124" s="116">
        <f>IFERROR((AY118/'Accom_Phase Schedule'!$C69)-(AND(AY106&gt;AX106,AY106&gt;1))*($E$104/52)*12*$E$103,0)</f>
        <v>0.97777777777777775</v>
      </c>
      <c r="AZ124" s="116">
        <f>IFERROR((AZ118/'Accom_Phase Schedule'!$C69)-(AND(AZ106&gt;AY106,AZ106&gt;1))*($E$104/52)*12*$E$103,0)</f>
        <v>0.97777777777777775</v>
      </c>
      <c r="BA124" s="116">
        <f>IFERROR((BA118/'Accom_Phase Schedule'!$C69)-(AND(BA106&gt;AZ106,BA106&gt;1))*($E$104/52)*12*$E$103,0)</f>
        <v>0</v>
      </c>
      <c r="BB124" s="116">
        <f>IFERROR((BB118/'Accom_Phase Schedule'!$C69)-(AND(BB106&gt;BA106,BB106&gt;1))*($E$104/52)*12*$E$103,0)</f>
        <v>0</v>
      </c>
      <c r="BC124" s="117">
        <f>IFERROR((BC118/'Accom_Phase Schedule'!$C69)-(AND(BC106&gt;BB106,BC106&gt;1))*($E$104/52)*12*$E$103,0)</f>
        <v>0</v>
      </c>
    </row>
    <row r="125" spans="8:56" x14ac:dyDescent="0.25">
      <c r="H125" s="106"/>
      <c r="I125" s="107"/>
      <c r="J125" s="108"/>
      <c r="K125" s="114"/>
      <c r="L125" s="114"/>
      <c r="M125" s="114"/>
      <c r="N125" s="114"/>
      <c r="O125" s="114"/>
      <c r="P125" s="114"/>
      <c r="Q125" s="114"/>
      <c r="R125" s="114"/>
      <c r="S125" s="114"/>
      <c r="T125" s="114"/>
      <c r="U125" s="114"/>
      <c r="V125" s="114"/>
      <c r="W125" s="114"/>
      <c r="X125" s="114"/>
      <c r="Y125" s="114"/>
      <c r="Z125" s="114"/>
      <c r="AA125" s="114"/>
      <c r="AB125" s="114"/>
      <c r="AC125" s="114"/>
      <c r="AD125" s="114"/>
      <c r="AE125" s="114"/>
      <c r="AF125" s="114"/>
      <c r="AG125" s="114"/>
      <c r="AH125" s="114"/>
      <c r="AI125" s="114"/>
      <c r="AJ125" s="114"/>
      <c r="AK125" s="114"/>
      <c r="AL125" s="114"/>
      <c r="AM125" s="114"/>
      <c r="AN125" s="114"/>
      <c r="AO125" s="109"/>
      <c r="AP125" s="109"/>
      <c r="AQ125" s="109"/>
      <c r="AR125" s="109"/>
      <c r="AS125" s="109"/>
      <c r="AT125" s="109"/>
      <c r="AU125" s="109"/>
      <c r="AV125" s="109"/>
      <c r="AW125" s="109"/>
      <c r="AX125" s="109"/>
      <c r="AY125" s="109"/>
      <c r="AZ125" s="109"/>
      <c r="BA125" s="109"/>
      <c r="BB125" s="109"/>
      <c r="BC125" s="110"/>
    </row>
    <row r="126" spans="8:56" x14ac:dyDescent="0.25">
      <c r="H126" s="106" t="s">
        <v>119</v>
      </c>
      <c r="I126" s="107"/>
      <c r="J126" s="108"/>
      <c r="K126" s="114">
        <f>SUM(K114:K118)</f>
        <v>0</v>
      </c>
      <c r="L126" s="114">
        <f t="shared" ref="L126:BD126" si="55">SUM(L114:L118)</f>
        <v>0</v>
      </c>
      <c r="M126" s="114">
        <f t="shared" si="55"/>
        <v>0</v>
      </c>
      <c r="N126" s="114">
        <f t="shared" si="55"/>
        <v>0</v>
      </c>
      <c r="O126" s="114">
        <f t="shared" si="55"/>
        <v>0</v>
      </c>
      <c r="P126" s="114">
        <f t="shared" si="55"/>
        <v>0</v>
      </c>
      <c r="Q126" s="114">
        <f t="shared" si="55"/>
        <v>0</v>
      </c>
      <c r="R126" s="114">
        <f t="shared" si="55"/>
        <v>0</v>
      </c>
      <c r="S126" s="114">
        <f t="shared" si="55"/>
        <v>23</v>
      </c>
      <c r="T126" s="114">
        <f t="shared" si="55"/>
        <v>46</v>
      </c>
      <c r="U126" s="114">
        <f t="shared" si="55"/>
        <v>69</v>
      </c>
      <c r="V126" s="114">
        <f t="shared" si="55"/>
        <v>88</v>
      </c>
      <c r="W126" s="114">
        <f t="shared" si="55"/>
        <v>88</v>
      </c>
      <c r="X126" s="114">
        <f t="shared" si="55"/>
        <v>111</v>
      </c>
      <c r="Y126" s="114">
        <f t="shared" si="55"/>
        <v>134</v>
      </c>
      <c r="Z126" s="114">
        <f t="shared" si="55"/>
        <v>157</v>
      </c>
      <c r="AA126" s="114">
        <f t="shared" si="55"/>
        <v>176</v>
      </c>
      <c r="AB126" s="114">
        <f t="shared" si="55"/>
        <v>176</v>
      </c>
      <c r="AC126" s="114">
        <f t="shared" si="55"/>
        <v>199</v>
      </c>
      <c r="AD126" s="114">
        <f t="shared" si="55"/>
        <v>222</v>
      </c>
      <c r="AE126" s="114">
        <f t="shared" si="55"/>
        <v>245</v>
      </c>
      <c r="AF126" s="114">
        <f t="shared" si="55"/>
        <v>264</v>
      </c>
      <c r="AG126" s="114">
        <f t="shared" si="55"/>
        <v>264</v>
      </c>
      <c r="AH126" s="114">
        <f t="shared" si="55"/>
        <v>264</v>
      </c>
      <c r="AI126" s="114">
        <f t="shared" si="55"/>
        <v>287</v>
      </c>
      <c r="AJ126" s="114">
        <f t="shared" si="55"/>
        <v>310</v>
      </c>
      <c r="AK126" s="114">
        <f t="shared" si="55"/>
        <v>333</v>
      </c>
      <c r="AL126" s="114">
        <f t="shared" si="55"/>
        <v>352</v>
      </c>
      <c r="AM126" s="114">
        <f t="shared" si="55"/>
        <v>352</v>
      </c>
      <c r="AN126" s="114">
        <f t="shared" si="55"/>
        <v>352</v>
      </c>
      <c r="AO126" s="114">
        <f t="shared" si="55"/>
        <v>375</v>
      </c>
      <c r="AP126" s="114">
        <f t="shared" si="55"/>
        <v>398</v>
      </c>
      <c r="AQ126" s="114">
        <f t="shared" si="55"/>
        <v>421</v>
      </c>
      <c r="AR126" s="114">
        <f t="shared" si="55"/>
        <v>440</v>
      </c>
      <c r="AS126" s="114">
        <f t="shared" si="55"/>
        <v>440</v>
      </c>
      <c r="AT126" s="114">
        <f t="shared" si="55"/>
        <v>440</v>
      </c>
      <c r="AU126" s="114">
        <f t="shared" si="55"/>
        <v>440</v>
      </c>
      <c r="AV126" s="114">
        <f t="shared" si="55"/>
        <v>440</v>
      </c>
      <c r="AW126" s="114">
        <f t="shared" si="55"/>
        <v>440</v>
      </c>
      <c r="AX126" s="114">
        <f t="shared" si="55"/>
        <v>440</v>
      </c>
      <c r="AY126" s="114">
        <f t="shared" si="55"/>
        <v>440</v>
      </c>
      <c r="AZ126" s="114">
        <f t="shared" si="55"/>
        <v>440</v>
      </c>
      <c r="BA126" s="114">
        <f t="shared" si="55"/>
        <v>0</v>
      </c>
      <c r="BB126" s="114">
        <f t="shared" si="55"/>
        <v>0</v>
      </c>
      <c r="BC126" s="115">
        <f t="shared" si="55"/>
        <v>0</v>
      </c>
      <c r="BD126" s="36">
        <f t="shared" si="55"/>
        <v>0</v>
      </c>
    </row>
    <row r="127" spans="8:56" x14ac:dyDescent="0.25">
      <c r="H127" s="106" t="s">
        <v>120</v>
      </c>
      <c r="I127" s="107"/>
      <c r="J127" s="108"/>
      <c r="K127" s="114" cm="1">
        <f t="array" ref="K127">(K126&gt;0)*SUMPRODUCT((K5&gt;='Accom_Phase Schedule'!$E$65:$E$69)*'Accom_Phase Schedule'!$D$65:$D$69)</f>
        <v>0</v>
      </c>
      <c r="L127" s="114" cm="1">
        <f t="array" ref="L127">(L126&gt;0)*SUMPRODUCT((L5&gt;='Accom_Phase Schedule'!$E$65:$E$69)*'Accom_Phase Schedule'!$D$65:$D$69)</f>
        <v>0</v>
      </c>
      <c r="M127" s="114" cm="1">
        <f t="array" ref="M127">(M126&gt;0)*SUMPRODUCT((M5&gt;='Accom_Phase Schedule'!$E$65:$E$69)*'Accom_Phase Schedule'!$D$65:$D$69)</f>
        <v>0</v>
      </c>
      <c r="N127" s="114" cm="1">
        <f t="array" ref="N127">(N126&gt;0)*SUMPRODUCT((N5&gt;='Accom_Phase Schedule'!$E$65:$E$69)*'Accom_Phase Schedule'!$D$65:$D$69)</f>
        <v>0</v>
      </c>
      <c r="O127" s="114" cm="1">
        <f t="array" ref="O127">(O126&gt;0)*SUMPRODUCT((O5&gt;='Accom_Phase Schedule'!$E$65:$E$69)*'Accom_Phase Schedule'!$D$65:$D$69)</f>
        <v>0</v>
      </c>
      <c r="P127" s="114" cm="1">
        <f t="array" ref="P127">(P126&gt;0)*SUMPRODUCT((P5&gt;='Accom_Phase Schedule'!$E$65:$E$69)*'Accom_Phase Schedule'!$D$65:$D$69)</f>
        <v>0</v>
      </c>
      <c r="Q127" s="114" cm="1">
        <f t="array" ref="Q127">(Q126&gt;0)*SUMPRODUCT((Q5&gt;='Accom_Phase Schedule'!$E$65:$E$69)*'Accom_Phase Schedule'!$D$65:$D$69)</f>
        <v>0</v>
      </c>
      <c r="R127" s="114" cm="1">
        <f t="array" ref="R127">(R126&gt;0)*SUMPRODUCT((R5&gt;='Accom_Phase Schedule'!$E$65:$E$69)*'Accom_Phase Schedule'!$D$65:$D$69)</f>
        <v>0</v>
      </c>
      <c r="S127" s="114" cm="1">
        <f t="array" ref="S127">(S126&gt;0)*SUMPRODUCT((S5&gt;='Accom_Phase Schedule'!$E$65:$E$69)*'Accom_Phase Schedule'!$D$65:$D$69)</f>
        <v>10</v>
      </c>
      <c r="T127" s="114" cm="1">
        <f t="array" ref="T127">(T126&gt;0)*SUMPRODUCT((T5&gt;='Accom_Phase Schedule'!$E$65:$E$69)*'Accom_Phase Schedule'!$D$65:$D$69)</f>
        <v>10</v>
      </c>
      <c r="U127" s="114" cm="1">
        <f t="array" ref="U127">(U126&gt;0)*SUMPRODUCT((U5&gt;='Accom_Phase Schedule'!$E$65:$E$69)*'Accom_Phase Schedule'!$D$65:$D$69)</f>
        <v>10</v>
      </c>
      <c r="V127" s="114" cm="1">
        <f t="array" ref="V127">(V126&gt;0)*SUMPRODUCT((V5&gt;='Accom_Phase Schedule'!$E$65:$E$69)*'Accom_Phase Schedule'!$D$65:$D$69)</f>
        <v>10</v>
      </c>
      <c r="W127" s="114" cm="1">
        <f t="array" ref="W127">(W126&gt;0)*SUMPRODUCT((W5&gt;='Accom_Phase Schedule'!$E$65:$E$69)*'Accom_Phase Schedule'!$D$65:$D$69)</f>
        <v>10</v>
      </c>
      <c r="X127" s="114" cm="1">
        <f t="array" ref="X127">(X126&gt;0)*SUMPRODUCT((X5&gt;='Accom_Phase Schedule'!$E$65:$E$69)*'Accom_Phase Schedule'!$D$65:$D$69)</f>
        <v>20</v>
      </c>
      <c r="Y127" s="114" cm="1">
        <f t="array" ref="Y127">(Y126&gt;0)*SUMPRODUCT((Y5&gt;='Accom_Phase Schedule'!$E$65:$E$69)*'Accom_Phase Schedule'!$D$65:$D$69)</f>
        <v>20</v>
      </c>
      <c r="Z127" s="114" cm="1">
        <f t="array" ref="Z127">(Z126&gt;0)*SUMPRODUCT((Z5&gt;='Accom_Phase Schedule'!$E$65:$E$69)*'Accom_Phase Schedule'!$D$65:$D$69)</f>
        <v>20</v>
      </c>
      <c r="AA127" s="114" cm="1">
        <f t="array" ref="AA127">(AA126&gt;0)*SUMPRODUCT((AA5&gt;='Accom_Phase Schedule'!$E$65:$E$69)*'Accom_Phase Schedule'!$D$65:$D$69)</f>
        <v>20</v>
      </c>
      <c r="AB127" s="114" cm="1">
        <f t="array" ref="AB127">(AB126&gt;0)*SUMPRODUCT((AB5&gt;='Accom_Phase Schedule'!$E$65:$E$69)*'Accom_Phase Schedule'!$D$65:$D$69)</f>
        <v>20</v>
      </c>
      <c r="AC127" s="114" cm="1">
        <f t="array" ref="AC127">(AC126&gt;0)*SUMPRODUCT((AC5&gt;='Accom_Phase Schedule'!$E$65:$E$69)*'Accom_Phase Schedule'!$D$65:$D$69)</f>
        <v>30</v>
      </c>
      <c r="AD127" s="114" cm="1">
        <f t="array" ref="AD127">(AD126&gt;0)*SUMPRODUCT((AD5&gt;='Accom_Phase Schedule'!$E$65:$E$69)*'Accom_Phase Schedule'!$D$65:$D$69)</f>
        <v>30</v>
      </c>
      <c r="AE127" s="114" cm="1">
        <f t="array" ref="AE127">(AE126&gt;0)*SUMPRODUCT((AE5&gt;='Accom_Phase Schedule'!$E$65:$E$69)*'Accom_Phase Schedule'!$D$65:$D$69)</f>
        <v>30</v>
      </c>
      <c r="AF127" s="114" cm="1">
        <f t="array" ref="AF127">(AF126&gt;0)*SUMPRODUCT((AF5&gt;='Accom_Phase Schedule'!$E$65:$E$69)*'Accom_Phase Schedule'!$D$65:$D$69)</f>
        <v>30</v>
      </c>
      <c r="AG127" s="114" cm="1">
        <f t="array" ref="AG127">(AG126&gt;0)*SUMPRODUCT((AG5&gt;='Accom_Phase Schedule'!$E$65:$E$69)*'Accom_Phase Schedule'!$D$65:$D$69)</f>
        <v>30</v>
      </c>
      <c r="AH127" s="114" cm="1">
        <f t="array" ref="AH127">(AH126&gt;0)*SUMPRODUCT((AH5&gt;='Accom_Phase Schedule'!$E$65:$E$69)*'Accom_Phase Schedule'!$D$65:$D$69)</f>
        <v>30</v>
      </c>
      <c r="AI127" s="114" cm="1">
        <f t="array" ref="AI127">(AI126&gt;0)*SUMPRODUCT((AI5&gt;='Accom_Phase Schedule'!$E$65:$E$69)*'Accom_Phase Schedule'!$D$65:$D$69)</f>
        <v>40</v>
      </c>
      <c r="AJ127" s="114" cm="1">
        <f t="array" ref="AJ127">(AJ126&gt;0)*SUMPRODUCT((AJ5&gt;='Accom_Phase Schedule'!$E$65:$E$69)*'Accom_Phase Schedule'!$D$65:$D$69)</f>
        <v>40</v>
      </c>
      <c r="AK127" s="114" cm="1">
        <f t="array" ref="AK127">(AK126&gt;0)*SUMPRODUCT((AK5&gt;='Accom_Phase Schedule'!$E$65:$E$69)*'Accom_Phase Schedule'!$D$65:$D$69)</f>
        <v>40</v>
      </c>
      <c r="AL127" s="114" cm="1">
        <f t="array" ref="AL127">(AL126&gt;0)*SUMPRODUCT((AL5&gt;='Accom_Phase Schedule'!$E$65:$E$69)*'Accom_Phase Schedule'!$D$65:$D$69)</f>
        <v>40</v>
      </c>
      <c r="AM127" s="114" cm="1">
        <f t="array" ref="AM127">(AM126&gt;0)*SUMPRODUCT((AM5&gt;='Accom_Phase Schedule'!$E$65:$E$69)*'Accom_Phase Schedule'!$D$65:$D$69)</f>
        <v>40</v>
      </c>
      <c r="AN127" s="114" cm="1">
        <f t="array" ref="AN127">(AN126&gt;0)*SUMPRODUCT((AN5&gt;='Accom_Phase Schedule'!$E$65:$E$69)*'Accom_Phase Schedule'!$D$65:$D$69)</f>
        <v>40</v>
      </c>
      <c r="AO127" s="114" cm="1">
        <f t="array" ref="AO127">(AO126&gt;0)*SUMPRODUCT((AO5&gt;='Accom_Phase Schedule'!$E$65:$E$69)*'Accom_Phase Schedule'!$D$65:$D$69)</f>
        <v>50</v>
      </c>
      <c r="AP127" s="114" cm="1">
        <f t="array" ref="AP127">(AP126&gt;0)*SUMPRODUCT((AP5&gt;='Accom_Phase Schedule'!$E$65:$E$69)*'Accom_Phase Schedule'!$D$65:$D$69)</f>
        <v>50</v>
      </c>
      <c r="AQ127" s="114" cm="1">
        <f t="array" ref="AQ127">(AQ126&gt;0)*SUMPRODUCT((AQ5&gt;='Accom_Phase Schedule'!$E$65:$E$69)*'Accom_Phase Schedule'!$D$65:$D$69)</f>
        <v>50</v>
      </c>
      <c r="AR127" s="114" cm="1">
        <f t="array" ref="AR127">(AR126&gt;0)*SUMPRODUCT((AR5&gt;='Accom_Phase Schedule'!$E$65:$E$69)*'Accom_Phase Schedule'!$D$65:$D$69)</f>
        <v>50</v>
      </c>
      <c r="AS127" s="114" cm="1">
        <f t="array" ref="AS127">(AS126&gt;0)*SUMPRODUCT((AS5&gt;='Accom_Phase Schedule'!$E$65:$E$69)*'Accom_Phase Schedule'!$D$65:$D$69)</f>
        <v>50</v>
      </c>
      <c r="AT127" s="114" cm="1">
        <f t="array" ref="AT127">(AT126&gt;0)*SUMPRODUCT((AT5&gt;='Accom_Phase Schedule'!$E$65:$E$69)*'Accom_Phase Schedule'!$D$65:$D$69)</f>
        <v>50</v>
      </c>
      <c r="AU127" s="114" cm="1">
        <f t="array" ref="AU127">(AU126&gt;0)*SUMPRODUCT((AU5&gt;='Accom_Phase Schedule'!$E$65:$E$69)*'Accom_Phase Schedule'!$D$65:$D$69)</f>
        <v>50</v>
      </c>
      <c r="AV127" s="114" cm="1">
        <f t="array" ref="AV127">(AV126&gt;0)*SUMPRODUCT((AV5&gt;='Accom_Phase Schedule'!$E$65:$E$69)*'Accom_Phase Schedule'!$D$65:$D$69)</f>
        <v>50</v>
      </c>
      <c r="AW127" s="114" cm="1">
        <f t="array" ref="AW127">(AW126&gt;0)*SUMPRODUCT((AW5&gt;='Accom_Phase Schedule'!$E$65:$E$69)*'Accom_Phase Schedule'!$D$65:$D$69)</f>
        <v>50</v>
      </c>
      <c r="AX127" s="114" cm="1">
        <f t="array" ref="AX127">(AX126&gt;0)*SUMPRODUCT((AX5&gt;='Accom_Phase Schedule'!$E$65:$E$69)*'Accom_Phase Schedule'!$D$65:$D$69)</f>
        <v>50</v>
      </c>
      <c r="AY127" s="114" cm="1">
        <f t="array" ref="AY127">(AY126&gt;0)*SUMPRODUCT((AY5&gt;='Accom_Phase Schedule'!$E$65:$E$69)*'Accom_Phase Schedule'!$D$65:$D$69)</f>
        <v>50</v>
      </c>
      <c r="AZ127" s="114" cm="1">
        <f t="array" ref="AZ127">(AZ126&gt;0)*SUMPRODUCT((AZ5&gt;='Accom_Phase Schedule'!$E$65:$E$69)*'Accom_Phase Schedule'!$D$65:$D$69)</f>
        <v>50</v>
      </c>
      <c r="BA127" s="114" cm="1">
        <f t="array" ref="BA127">(BA126&gt;0)*SUMPRODUCT((BA5&gt;='Accom_Phase Schedule'!$E$65:$E$69)*'Accom_Phase Schedule'!$D$65:$D$69)</f>
        <v>0</v>
      </c>
      <c r="BB127" s="114" cm="1">
        <f t="array" ref="BB127">(BB126&gt;0)*SUMPRODUCT((BB5&gt;='Accom_Phase Schedule'!$E$65:$E$69)*'Accom_Phase Schedule'!$D$65:$D$69)</f>
        <v>0</v>
      </c>
      <c r="BC127" s="115" cm="1">
        <f t="array" ref="BC127">(BC126&gt;0)*SUMPRODUCT((BC5&gt;='Accom_Phase Schedule'!$E$65:$E$69)*'Accom_Phase Schedule'!$D$65:$D$69)</f>
        <v>0</v>
      </c>
    </row>
    <row r="128" spans="8:56" x14ac:dyDescent="0.25">
      <c r="H128" s="118" t="s">
        <v>131</v>
      </c>
      <c r="I128" s="119"/>
      <c r="J128" s="119"/>
      <c r="K128" s="120">
        <f>SUM(K126:K127)</f>
        <v>0</v>
      </c>
      <c r="L128" s="120">
        <f t="shared" ref="L128:BC128" si="56">SUM(L126:L127)</f>
        <v>0</v>
      </c>
      <c r="M128" s="120">
        <f t="shared" si="56"/>
        <v>0</v>
      </c>
      <c r="N128" s="120">
        <f t="shared" si="56"/>
        <v>0</v>
      </c>
      <c r="O128" s="120">
        <f t="shared" si="56"/>
        <v>0</v>
      </c>
      <c r="P128" s="120">
        <f t="shared" si="56"/>
        <v>0</v>
      </c>
      <c r="Q128" s="120">
        <f t="shared" si="56"/>
        <v>0</v>
      </c>
      <c r="R128" s="120">
        <f t="shared" si="56"/>
        <v>0</v>
      </c>
      <c r="S128" s="120">
        <f t="shared" si="56"/>
        <v>33</v>
      </c>
      <c r="T128" s="120">
        <f t="shared" si="56"/>
        <v>56</v>
      </c>
      <c r="U128" s="120">
        <f t="shared" si="56"/>
        <v>79</v>
      </c>
      <c r="V128" s="120">
        <f t="shared" si="56"/>
        <v>98</v>
      </c>
      <c r="W128" s="120">
        <f t="shared" si="56"/>
        <v>98</v>
      </c>
      <c r="X128" s="120">
        <f t="shared" si="56"/>
        <v>131</v>
      </c>
      <c r="Y128" s="120">
        <f t="shared" si="56"/>
        <v>154</v>
      </c>
      <c r="Z128" s="120">
        <f t="shared" si="56"/>
        <v>177</v>
      </c>
      <c r="AA128" s="120">
        <f t="shared" si="56"/>
        <v>196</v>
      </c>
      <c r="AB128" s="120">
        <f t="shared" si="56"/>
        <v>196</v>
      </c>
      <c r="AC128" s="120">
        <f t="shared" si="56"/>
        <v>229</v>
      </c>
      <c r="AD128" s="120">
        <f t="shared" si="56"/>
        <v>252</v>
      </c>
      <c r="AE128" s="120">
        <f t="shared" si="56"/>
        <v>275</v>
      </c>
      <c r="AF128" s="120">
        <f t="shared" si="56"/>
        <v>294</v>
      </c>
      <c r="AG128" s="120">
        <f t="shared" si="56"/>
        <v>294</v>
      </c>
      <c r="AH128" s="120">
        <f t="shared" si="56"/>
        <v>294</v>
      </c>
      <c r="AI128" s="120">
        <f t="shared" si="56"/>
        <v>327</v>
      </c>
      <c r="AJ128" s="120">
        <f t="shared" si="56"/>
        <v>350</v>
      </c>
      <c r="AK128" s="120">
        <f t="shared" si="56"/>
        <v>373</v>
      </c>
      <c r="AL128" s="120">
        <f t="shared" si="56"/>
        <v>392</v>
      </c>
      <c r="AM128" s="120">
        <f t="shared" si="56"/>
        <v>392</v>
      </c>
      <c r="AN128" s="120">
        <f t="shared" si="56"/>
        <v>392</v>
      </c>
      <c r="AO128" s="120">
        <f t="shared" si="56"/>
        <v>425</v>
      </c>
      <c r="AP128" s="120">
        <f t="shared" si="56"/>
        <v>448</v>
      </c>
      <c r="AQ128" s="120">
        <f t="shared" si="56"/>
        <v>471</v>
      </c>
      <c r="AR128" s="120">
        <f t="shared" si="56"/>
        <v>490</v>
      </c>
      <c r="AS128" s="120">
        <f t="shared" si="56"/>
        <v>490</v>
      </c>
      <c r="AT128" s="120">
        <f t="shared" si="56"/>
        <v>490</v>
      </c>
      <c r="AU128" s="120">
        <f t="shared" si="56"/>
        <v>490</v>
      </c>
      <c r="AV128" s="120">
        <f t="shared" si="56"/>
        <v>490</v>
      </c>
      <c r="AW128" s="120">
        <f t="shared" si="56"/>
        <v>490</v>
      </c>
      <c r="AX128" s="120">
        <f t="shared" si="56"/>
        <v>490</v>
      </c>
      <c r="AY128" s="120">
        <f t="shared" si="56"/>
        <v>490</v>
      </c>
      <c r="AZ128" s="120">
        <f t="shared" si="56"/>
        <v>490</v>
      </c>
      <c r="BA128" s="121">
        <f t="shared" si="56"/>
        <v>0</v>
      </c>
      <c r="BB128" s="121">
        <f t="shared" si="56"/>
        <v>0</v>
      </c>
      <c r="BC128" s="122">
        <f t="shared" si="56"/>
        <v>0</v>
      </c>
    </row>
  </sheetData>
  <dataValidations count="1">
    <dataValidation type="list" allowBlank="1" showInputMessage="1" showErrorMessage="1" sqref="D39:D43" xr:uid="{FCE01F53-9F36-4869-B3DF-82254D072F3B}">
      <formula1>"Monthly, Quarterly, Bi-annual"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49DEE-1529-4C77-ADF1-FCC52CCF1662}">
  <sheetPr codeName="Sheet1"/>
  <dimension ref="A1:AE78"/>
  <sheetViews>
    <sheetView showZeros="0" topLeftCell="A37" zoomScale="85" zoomScaleNormal="85" workbookViewId="0">
      <selection activeCell="J63" sqref="J63"/>
    </sheetView>
  </sheetViews>
  <sheetFormatPr defaultRowHeight="15" x14ac:dyDescent="0.25"/>
  <cols>
    <col min="1" max="1" width="9.140625" style="1"/>
    <col min="2" max="2" width="15.85546875" style="1" customWidth="1"/>
    <col min="3" max="3" width="14.5703125" style="1" customWidth="1"/>
    <col min="4" max="5" width="14.42578125" style="1" customWidth="1"/>
    <col min="6" max="7" width="16.28515625" style="1" customWidth="1"/>
    <col min="8" max="8" width="12.85546875" style="1" customWidth="1"/>
    <col min="9" max="9" width="15.5703125" style="1" customWidth="1"/>
    <col min="10" max="10" width="15.28515625" style="1" customWidth="1"/>
    <col min="11" max="13" width="14.42578125" style="1" customWidth="1"/>
    <col min="14" max="14" width="14.5703125" style="1" customWidth="1"/>
    <col min="15" max="16" width="5.85546875" style="1" customWidth="1"/>
    <col min="17" max="17" width="14.28515625" style="1" customWidth="1"/>
    <col min="18" max="22" width="16.7109375" style="1" customWidth="1"/>
    <col min="23" max="23" width="18" style="1" customWidth="1"/>
    <col min="24" max="24" width="12.28515625" style="1" customWidth="1"/>
    <col min="25" max="31" width="8.7109375" style="1" customWidth="1"/>
    <col min="32" max="16384" width="9.140625" style="1"/>
  </cols>
  <sheetData>
    <row r="1" spans="2:31" x14ac:dyDescent="0.25">
      <c r="O1" s="3"/>
    </row>
    <row r="2" spans="2:31" s="15" customFormat="1" ht="19.5" thickBot="1" x14ac:dyDescent="0.35">
      <c r="B2" s="16" t="s">
        <v>22</v>
      </c>
    </row>
    <row r="3" spans="2:31" x14ac:dyDescent="0.25">
      <c r="O3" s="65"/>
      <c r="X3" s="10"/>
      <c r="Y3" s="10"/>
      <c r="Z3" s="10"/>
      <c r="AA3" s="10"/>
      <c r="AB3" s="10"/>
      <c r="AC3" s="10"/>
      <c r="AD3" s="10"/>
      <c r="AE3" s="10"/>
    </row>
    <row r="4" spans="2:31" ht="15.75" x14ac:dyDescent="0.25">
      <c r="B4" s="11" t="s">
        <v>18</v>
      </c>
      <c r="C4" s="11"/>
      <c r="D4" s="11"/>
      <c r="E4" s="11"/>
      <c r="F4" s="11"/>
      <c r="G4" s="11"/>
      <c r="H4" s="11"/>
      <c r="I4" s="11"/>
      <c r="J4" s="11"/>
      <c r="K4" s="22"/>
      <c r="L4" s="22"/>
      <c r="M4" s="22"/>
      <c r="N4" s="22"/>
      <c r="O4" s="3"/>
      <c r="X4" s="29"/>
      <c r="Y4" s="10"/>
      <c r="Z4" s="10"/>
      <c r="AA4" s="10"/>
      <c r="AB4" s="10"/>
      <c r="AC4" s="10"/>
      <c r="AD4" s="10"/>
      <c r="AE4" s="10"/>
    </row>
    <row r="5" spans="2:31" ht="15.75" x14ac:dyDescent="0.25">
      <c r="B5" s="20" t="s">
        <v>32</v>
      </c>
      <c r="E5" s="21" t="s">
        <v>33</v>
      </c>
      <c r="O5" s="3"/>
      <c r="X5" s="10"/>
      <c r="Y5" s="10"/>
      <c r="Z5" s="10"/>
      <c r="AA5" s="10"/>
      <c r="AB5" s="10"/>
      <c r="AC5" s="10"/>
      <c r="AD5" s="10"/>
      <c r="AE5" s="10"/>
    </row>
    <row r="6" spans="2:31" x14ac:dyDescent="0.25">
      <c r="B6" s="25" t="s">
        <v>19</v>
      </c>
      <c r="C6" s="23" t="s">
        <v>20</v>
      </c>
      <c r="D6" s="27" t="s">
        <v>21</v>
      </c>
      <c r="E6" s="63" t="s">
        <v>34</v>
      </c>
      <c r="F6" s="24" t="s">
        <v>35</v>
      </c>
      <c r="G6" s="123"/>
      <c r="I6" s="25" t="s">
        <v>19</v>
      </c>
      <c r="J6" s="23" t="s">
        <v>16</v>
      </c>
      <c r="K6" s="23" t="s">
        <v>47</v>
      </c>
      <c r="L6" s="23" t="s">
        <v>25</v>
      </c>
      <c r="M6" s="23" t="s">
        <v>46</v>
      </c>
      <c r="N6" s="23" t="s">
        <v>48</v>
      </c>
      <c r="O6" s="3"/>
      <c r="X6" s="10"/>
      <c r="Y6" s="10"/>
      <c r="Z6" s="10"/>
      <c r="AA6" s="10"/>
      <c r="AB6" s="10"/>
      <c r="AC6" s="10"/>
      <c r="AD6" s="10"/>
      <c r="AE6" s="10"/>
    </row>
    <row r="7" spans="2:31" x14ac:dyDescent="0.25">
      <c r="B7" s="77" t="s">
        <v>49</v>
      </c>
      <c r="C7" s="6">
        <v>500</v>
      </c>
      <c r="D7" s="18">
        <v>1100</v>
      </c>
      <c r="E7" s="19">
        <f>MROUND(D7*0.8,25)</f>
        <v>875</v>
      </c>
      <c r="F7" s="6">
        <f>MROUND(C7*400,5000)</f>
        <v>200000</v>
      </c>
      <c r="G7" s="124"/>
      <c r="I7" s="78" t="str">
        <f t="shared" ref="I7:I15" si="0">B7</f>
        <v>Studio</v>
      </c>
      <c r="J7" s="5">
        <f t="shared" ref="J7:J15" si="1">SUMIF($C$21:$C$34,I7,$D$21:$D$34)+SUMIF($J$21:$J$34,I7,$K$21:$K$34)</f>
        <v>100</v>
      </c>
      <c r="K7" s="17">
        <f>J7/SUM($J$7:$J$15)</f>
        <v>0.2</v>
      </c>
      <c r="L7" s="5">
        <f t="shared" ref="L7:L15" si="2">SUMIF($C$21:$C$34,I7,$F$21:$F$34)+SUMIF($J$21:$J$34,I7,$M$21:$M$34)</f>
        <v>105500</v>
      </c>
      <c r="M7" s="17">
        <f t="shared" ref="M7:M15" si="3">L7/SUM($L$7:$L$15)</f>
        <v>0.10784564272936366</v>
      </c>
      <c r="N7" s="31">
        <f>IFERROR(D7*12/C7,0)</f>
        <v>26.4</v>
      </c>
      <c r="O7" s="3"/>
      <c r="X7" s="10"/>
      <c r="Y7" s="10"/>
      <c r="Z7" s="10"/>
      <c r="AA7" s="10"/>
      <c r="AB7" s="10"/>
      <c r="AC7" s="10"/>
      <c r="AD7" s="10"/>
      <c r="AE7" s="10"/>
    </row>
    <row r="8" spans="2:31" x14ac:dyDescent="0.25">
      <c r="B8" s="77" t="s">
        <v>56</v>
      </c>
      <c r="C8" s="6">
        <v>600</v>
      </c>
      <c r="D8" s="18">
        <v>1500</v>
      </c>
      <c r="E8" s="19">
        <f t="shared" ref="E8:E13" si="4">MROUND(D8*0.8,25)</f>
        <v>1200</v>
      </c>
      <c r="F8" s="6">
        <f t="shared" ref="F8:F13" si="5">MROUND(C8*400,5000)</f>
        <v>240000</v>
      </c>
      <c r="G8" s="124"/>
      <c r="I8" s="78" t="str">
        <f t="shared" si="0"/>
        <v>1 Bed Apt Type.1</v>
      </c>
      <c r="J8" s="5">
        <f t="shared" si="1"/>
        <v>100</v>
      </c>
      <c r="K8" s="17">
        <f t="shared" ref="K8:K15" si="6">J8/SUM($J$7:$J$15)</f>
        <v>0.2</v>
      </c>
      <c r="L8" s="5">
        <f t="shared" si="2"/>
        <v>147000</v>
      </c>
      <c r="M8" s="17">
        <f t="shared" si="3"/>
        <v>0.15026833631484796</v>
      </c>
      <c r="N8" s="31">
        <f t="shared" ref="N8:N15" si="7">IFERROR(D8*12/C8,0)</f>
        <v>30</v>
      </c>
      <c r="O8" s="3"/>
      <c r="X8" s="10"/>
      <c r="Y8" s="10"/>
      <c r="Z8" s="10"/>
      <c r="AA8" s="10"/>
      <c r="AB8" s="10"/>
      <c r="AC8" s="10"/>
    </row>
    <row r="9" spans="2:31" x14ac:dyDescent="0.25">
      <c r="B9" s="77" t="s">
        <v>57</v>
      </c>
      <c r="C9" s="6">
        <v>650</v>
      </c>
      <c r="D9" s="18">
        <v>1600</v>
      </c>
      <c r="E9" s="19">
        <f t="shared" si="4"/>
        <v>1275</v>
      </c>
      <c r="F9" s="6">
        <f t="shared" si="5"/>
        <v>260000</v>
      </c>
      <c r="G9" s="124"/>
      <c r="I9" s="78" t="str">
        <f t="shared" si="0"/>
        <v>1 Bed Apt Type 2</v>
      </c>
      <c r="J9" s="5">
        <f t="shared" si="1"/>
        <v>50</v>
      </c>
      <c r="K9" s="17">
        <f t="shared" si="6"/>
        <v>0.1</v>
      </c>
      <c r="L9" s="5">
        <f t="shared" si="2"/>
        <v>76750</v>
      </c>
      <c r="M9" s="17">
        <f t="shared" si="3"/>
        <v>7.8456427293636596E-2</v>
      </c>
      <c r="N9" s="31">
        <f t="shared" si="7"/>
        <v>29.53846153846154</v>
      </c>
      <c r="O9" s="3"/>
    </row>
    <row r="10" spans="2:31" x14ac:dyDescent="0.25">
      <c r="B10" s="77" t="s">
        <v>58</v>
      </c>
      <c r="C10" s="6">
        <v>750</v>
      </c>
      <c r="D10" s="18">
        <v>2200</v>
      </c>
      <c r="E10" s="19">
        <f t="shared" si="4"/>
        <v>1750</v>
      </c>
      <c r="F10" s="6">
        <f t="shared" si="5"/>
        <v>300000</v>
      </c>
      <c r="G10" s="124"/>
      <c r="I10" s="78" t="str">
        <f t="shared" si="0"/>
        <v>2 Bed Apt Type 1</v>
      </c>
      <c r="J10" s="5">
        <f t="shared" si="1"/>
        <v>50</v>
      </c>
      <c r="K10" s="17">
        <f t="shared" si="6"/>
        <v>0.1</v>
      </c>
      <c r="L10" s="5">
        <f t="shared" si="2"/>
        <v>110000</v>
      </c>
      <c r="M10" s="17">
        <f t="shared" si="3"/>
        <v>0.11244569384104268</v>
      </c>
      <c r="N10" s="31">
        <f t="shared" si="7"/>
        <v>35.200000000000003</v>
      </c>
      <c r="O10" s="3"/>
    </row>
    <row r="11" spans="2:31" x14ac:dyDescent="0.25">
      <c r="B11" s="77" t="s">
        <v>59</v>
      </c>
      <c r="C11" s="6">
        <v>800</v>
      </c>
      <c r="D11" s="18">
        <v>2400</v>
      </c>
      <c r="E11" s="19">
        <f t="shared" si="4"/>
        <v>1925</v>
      </c>
      <c r="F11" s="6">
        <f t="shared" si="5"/>
        <v>320000</v>
      </c>
      <c r="G11" s="124"/>
      <c r="I11" s="78" t="str">
        <f t="shared" si="0"/>
        <v>2 Bed Apt Type 2</v>
      </c>
      <c r="J11" s="5">
        <f t="shared" si="1"/>
        <v>100</v>
      </c>
      <c r="K11" s="17">
        <f t="shared" si="6"/>
        <v>0.2</v>
      </c>
      <c r="L11" s="5">
        <f t="shared" si="2"/>
        <v>240000</v>
      </c>
      <c r="M11" s="17">
        <f t="shared" si="3"/>
        <v>0.24533605928954766</v>
      </c>
      <c r="N11" s="31">
        <f t="shared" si="7"/>
        <v>36</v>
      </c>
      <c r="O11" s="3"/>
    </row>
    <row r="12" spans="2:31" x14ac:dyDescent="0.25">
      <c r="B12" s="77" t="s">
        <v>60</v>
      </c>
      <c r="C12" s="6">
        <v>1000</v>
      </c>
      <c r="D12" s="18">
        <v>3000</v>
      </c>
      <c r="E12" s="19">
        <f t="shared" si="4"/>
        <v>2400</v>
      </c>
      <c r="F12" s="6">
        <f t="shared" si="5"/>
        <v>400000</v>
      </c>
      <c r="G12" s="124"/>
      <c r="I12" s="78" t="str">
        <f t="shared" si="0"/>
        <v>3 Bed Apt Type 1</v>
      </c>
      <c r="J12" s="5">
        <f t="shared" si="1"/>
        <v>50</v>
      </c>
      <c r="K12" s="17">
        <f t="shared" si="6"/>
        <v>0.1</v>
      </c>
      <c r="L12" s="5">
        <f t="shared" si="2"/>
        <v>144000</v>
      </c>
      <c r="M12" s="17">
        <f t="shared" si="3"/>
        <v>0.14720163557372859</v>
      </c>
      <c r="N12" s="31">
        <f t="shared" si="7"/>
        <v>36</v>
      </c>
      <c r="O12" s="3"/>
    </row>
    <row r="13" spans="2:31" x14ac:dyDescent="0.25">
      <c r="B13" s="77" t="s">
        <v>61</v>
      </c>
      <c r="C13" s="6">
        <v>1100</v>
      </c>
      <c r="D13" s="18">
        <v>3100</v>
      </c>
      <c r="E13" s="19">
        <f t="shared" si="4"/>
        <v>2475</v>
      </c>
      <c r="F13" s="6">
        <f t="shared" si="5"/>
        <v>440000</v>
      </c>
      <c r="G13" s="124"/>
      <c r="I13" s="78" t="str">
        <f t="shared" si="0"/>
        <v>3 Bed Apt Type 2</v>
      </c>
      <c r="J13" s="5">
        <f t="shared" si="1"/>
        <v>50</v>
      </c>
      <c r="K13" s="17">
        <f t="shared" si="6"/>
        <v>0.1</v>
      </c>
      <c r="L13" s="5">
        <f t="shared" si="2"/>
        <v>155000</v>
      </c>
      <c r="M13" s="17">
        <f t="shared" si="3"/>
        <v>0.15844620495783288</v>
      </c>
      <c r="N13" s="31">
        <f t="shared" si="7"/>
        <v>33.81818181818182</v>
      </c>
      <c r="O13" s="3"/>
    </row>
    <row r="14" spans="2:31" x14ac:dyDescent="0.25">
      <c r="B14" s="77"/>
      <c r="C14" s="6"/>
      <c r="D14" s="18"/>
      <c r="E14" s="19"/>
      <c r="F14" s="6"/>
      <c r="G14" s="124"/>
      <c r="I14" s="78">
        <f t="shared" si="0"/>
        <v>0</v>
      </c>
      <c r="J14" s="5">
        <f t="shared" si="1"/>
        <v>0</v>
      </c>
      <c r="K14" s="17">
        <f t="shared" si="6"/>
        <v>0</v>
      </c>
      <c r="L14" s="5">
        <f t="shared" si="2"/>
        <v>0</v>
      </c>
      <c r="M14" s="17">
        <f t="shared" si="3"/>
        <v>0</v>
      </c>
      <c r="N14" s="31">
        <f t="shared" si="7"/>
        <v>0</v>
      </c>
      <c r="O14" s="3"/>
    </row>
    <row r="15" spans="2:31" x14ac:dyDescent="0.25">
      <c r="B15" s="77"/>
      <c r="C15" s="6"/>
      <c r="D15" s="18"/>
      <c r="E15" s="19"/>
      <c r="F15" s="6"/>
      <c r="G15" s="124"/>
      <c r="I15" s="78">
        <f t="shared" si="0"/>
        <v>0</v>
      </c>
      <c r="J15" s="5">
        <f t="shared" si="1"/>
        <v>0</v>
      </c>
      <c r="K15" s="17">
        <f t="shared" si="6"/>
        <v>0</v>
      </c>
      <c r="L15" s="5">
        <f t="shared" si="2"/>
        <v>0</v>
      </c>
      <c r="M15" s="17">
        <f t="shared" si="3"/>
        <v>0</v>
      </c>
      <c r="N15" s="31">
        <f t="shared" si="7"/>
        <v>0</v>
      </c>
      <c r="O15" s="3"/>
    </row>
    <row r="16" spans="2:31" x14ac:dyDescent="0.25">
      <c r="O16" s="3"/>
    </row>
    <row r="17" spans="2:25" ht="15.75" x14ac:dyDescent="0.25">
      <c r="B17" s="11" t="s">
        <v>22</v>
      </c>
      <c r="C17" s="11"/>
      <c r="D17" s="11"/>
      <c r="E17" s="11"/>
      <c r="F17" s="11"/>
      <c r="G17" s="11"/>
      <c r="H17" s="11"/>
      <c r="I17" s="11"/>
      <c r="J17" s="11"/>
      <c r="K17" s="22"/>
      <c r="L17" s="22"/>
      <c r="M17" s="22"/>
      <c r="N17" s="22"/>
      <c r="O17" s="3"/>
    </row>
    <row r="18" spans="2:25" x14ac:dyDescent="0.25">
      <c r="O18" s="3"/>
    </row>
    <row r="19" spans="2:25" ht="15.75" x14ac:dyDescent="0.25">
      <c r="B19" s="20" t="s">
        <v>32</v>
      </c>
      <c r="I19" s="21" t="s">
        <v>33</v>
      </c>
      <c r="O19" s="3"/>
    </row>
    <row r="20" spans="2:25" x14ac:dyDescent="0.25">
      <c r="B20" s="25" t="s">
        <v>17</v>
      </c>
      <c r="C20" s="25" t="s">
        <v>19</v>
      </c>
      <c r="D20" s="23" t="s">
        <v>16</v>
      </c>
      <c r="E20" s="23" t="s">
        <v>26</v>
      </c>
      <c r="F20" s="23" t="s">
        <v>27</v>
      </c>
      <c r="G20" s="125"/>
      <c r="I20" s="26" t="s">
        <v>17</v>
      </c>
      <c r="J20" s="26" t="s">
        <v>19</v>
      </c>
      <c r="K20" s="24" t="s">
        <v>16</v>
      </c>
      <c r="L20" s="24" t="s">
        <v>26</v>
      </c>
      <c r="M20" s="24" t="s">
        <v>27</v>
      </c>
      <c r="N20" s="24" t="s">
        <v>36</v>
      </c>
      <c r="O20" s="3"/>
    </row>
    <row r="21" spans="2:25" ht="16.5" customHeight="1" thickBot="1" x14ac:dyDescent="0.3">
      <c r="B21" s="12">
        <v>1</v>
      </c>
      <c r="C21" s="77" t="s">
        <v>49</v>
      </c>
      <c r="D21" s="6">
        <v>40</v>
      </c>
      <c r="E21" s="5">
        <f>_xlfn.IFNA(D21*INDEX($C$7:$C$15,MATCH(C21,$B$7:$B$15,0)),0)</f>
        <v>20000</v>
      </c>
      <c r="F21" s="5">
        <f>_xlfn.IFNA(D21*INDEX($D$7:$D$15,MATCH(C21,$B$7:$B$15,0)),0)</f>
        <v>44000</v>
      </c>
      <c r="G21" s="126"/>
      <c r="I21" s="12">
        <v>1</v>
      </c>
      <c r="J21" s="77" t="s">
        <v>49</v>
      </c>
      <c r="K21" s="6">
        <v>10</v>
      </c>
      <c r="L21" s="5">
        <f>_xlfn.IFNA(K21*INDEX($C$7:$C$15,MATCH(J21,$B$7:$B$15,0)),0)</f>
        <v>5000</v>
      </c>
      <c r="M21" s="5">
        <f t="shared" ref="M21:M34" si="8">($B$74="Rent to Council")*_xlfn.IFNA(K21*INDEX($E$7:$E$15,MATCH(J21,$B$7:$B$15,0)),0)</f>
        <v>8750</v>
      </c>
      <c r="N21" s="5">
        <f t="shared" ref="N21:N34" si="9">($B$74="Sale to Council")*_xlfn.IFNA(K21*INDEX($F$7:$F$15,MATCH(J21,$B$7:$B$15,0)),0)</f>
        <v>0</v>
      </c>
      <c r="O21" s="3"/>
      <c r="X21" s="15"/>
      <c r="Y21" s="15"/>
    </row>
    <row r="22" spans="2:25" x14ac:dyDescent="0.25">
      <c r="B22" s="12">
        <v>1</v>
      </c>
      <c r="C22" s="77" t="s">
        <v>56</v>
      </c>
      <c r="D22" s="6">
        <v>50</v>
      </c>
      <c r="E22" s="5">
        <f t="shared" ref="E22:E34" si="10">_xlfn.IFNA(D22*INDEX($C$7:$C$15,MATCH(C22,$B$7:$B$15,0)),0)</f>
        <v>30000</v>
      </c>
      <c r="F22" s="5">
        <f t="shared" ref="F22:F34" si="11">_xlfn.IFNA(D22*INDEX($D$7:$D$15,MATCH(C22,$B$7:$B$15,0)),0)</f>
        <v>75000</v>
      </c>
      <c r="G22" s="126"/>
      <c r="I22" s="12">
        <v>2</v>
      </c>
      <c r="J22" s="77" t="s">
        <v>57</v>
      </c>
      <c r="K22" s="6">
        <v>10</v>
      </c>
      <c r="L22" s="5">
        <f t="shared" ref="L22:L34" si="12">_xlfn.IFNA(K22*INDEX($C$7:$C$15,MATCH(J22,$B$7:$B$15,0)),0)</f>
        <v>6500</v>
      </c>
      <c r="M22" s="5">
        <f t="shared" si="8"/>
        <v>12750</v>
      </c>
      <c r="N22" s="5">
        <f t="shared" si="9"/>
        <v>0</v>
      </c>
      <c r="O22" s="3"/>
    </row>
    <row r="23" spans="2:25" x14ac:dyDescent="0.25">
      <c r="B23" s="12">
        <v>2</v>
      </c>
      <c r="C23" s="77" t="s">
        <v>57</v>
      </c>
      <c r="D23" s="6">
        <v>40</v>
      </c>
      <c r="E23" s="5">
        <f t="shared" si="10"/>
        <v>26000</v>
      </c>
      <c r="F23" s="5">
        <f t="shared" si="11"/>
        <v>64000</v>
      </c>
      <c r="G23" s="126"/>
      <c r="I23" s="12">
        <v>3</v>
      </c>
      <c r="J23" s="77" t="s">
        <v>60</v>
      </c>
      <c r="K23" s="6">
        <v>10</v>
      </c>
      <c r="L23" s="5">
        <f t="shared" si="12"/>
        <v>10000</v>
      </c>
      <c r="M23" s="5">
        <f t="shared" si="8"/>
        <v>24000</v>
      </c>
      <c r="N23" s="5">
        <f t="shared" si="9"/>
        <v>0</v>
      </c>
      <c r="O23" s="3"/>
    </row>
    <row r="24" spans="2:25" x14ac:dyDescent="0.25">
      <c r="B24" s="12">
        <v>2</v>
      </c>
      <c r="C24" s="77" t="s">
        <v>58</v>
      </c>
      <c r="D24" s="6">
        <v>50</v>
      </c>
      <c r="E24" s="5">
        <f t="shared" si="10"/>
        <v>37500</v>
      </c>
      <c r="F24" s="5">
        <f t="shared" si="11"/>
        <v>110000</v>
      </c>
      <c r="G24" s="126"/>
      <c r="I24" s="12">
        <v>4</v>
      </c>
      <c r="J24" s="77" t="s">
        <v>49</v>
      </c>
      <c r="K24" s="6">
        <v>10</v>
      </c>
      <c r="L24" s="5">
        <f t="shared" si="12"/>
        <v>5000</v>
      </c>
      <c r="M24" s="5">
        <f t="shared" si="8"/>
        <v>8750</v>
      </c>
      <c r="N24" s="5">
        <f t="shared" si="9"/>
        <v>0</v>
      </c>
      <c r="O24" s="3"/>
    </row>
    <row r="25" spans="2:25" x14ac:dyDescent="0.25">
      <c r="B25" s="12">
        <v>3</v>
      </c>
      <c r="C25" s="77" t="s">
        <v>60</v>
      </c>
      <c r="D25" s="6">
        <v>40</v>
      </c>
      <c r="E25" s="5">
        <f t="shared" si="10"/>
        <v>40000</v>
      </c>
      <c r="F25" s="5">
        <f t="shared" si="11"/>
        <v>120000</v>
      </c>
      <c r="G25" s="126"/>
      <c r="I25" s="12">
        <v>5</v>
      </c>
      <c r="J25" s="77" t="s">
        <v>56</v>
      </c>
      <c r="K25" s="6">
        <v>10</v>
      </c>
      <c r="L25" s="5">
        <f t="shared" si="12"/>
        <v>6000</v>
      </c>
      <c r="M25" s="5">
        <f t="shared" si="8"/>
        <v>12000</v>
      </c>
      <c r="N25" s="5">
        <f t="shared" si="9"/>
        <v>0</v>
      </c>
      <c r="O25" s="3"/>
    </row>
    <row r="26" spans="2:25" x14ac:dyDescent="0.25">
      <c r="B26" s="12">
        <v>3</v>
      </c>
      <c r="C26" s="77" t="s">
        <v>59</v>
      </c>
      <c r="D26" s="6">
        <v>50</v>
      </c>
      <c r="E26" s="5">
        <f t="shared" si="10"/>
        <v>40000</v>
      </c>
      <c r="F26" s="5">
        <f t="shared" si="11"/>
        <v>120000</v>
      </c>
      <c r="G26" s="126"/>
      <c r="I26" s="12"/>
      <c r="J26" s="77"/>
      <c r="K26" s="6"/>
      <c r="L26" s="5">
        <f t="shared" si="12"/>
        <v>0</v>
      </c>
      <c r="M26" s="5">
        <f t="shared" si="8"/>
        <v>0</v>
      </c>
      <c r="N26" s="5">
        <f t="shared" si="9"/>
        <v>0</v>
      </c>
      <c r="O26" s="3"/>
    </row>
    <row r="27" spans="2:25" x14ac:dyDescent="0.25">
      <c r="B27" s="12">
        <v>4</v>
      </c>
      <c r="C27" s="77" t="s">
        <v>61</v>
      </c>
      <c r="D27" s="6">
        <v>50</v>
      </c>
      <c r="E27" s="5">
        <f t="shared" si="10"/>
        <v>55000</v>
      </c>
      <c r="F27" s="5">
        <f t="shared" si="11"/>
        <v>155000</v>
      </c>
      <c r="G27" s="126"/>
      <c r="I27" s="12"/>
      <c r="J27" s="77"/>
      <c r="K27" s="6"/>
      <c r="L27" s="5">
        <f t="shared" si="12"/>
        <v>0</v>
      </c>
      <c r="M27" s="5">
        <f t="shared" si="8"/>
        <v>0</v>
      </c>
      <c r="N27" s="5">
        <f t="shared" si="9"/>
        <v>0</v>
      </c>
      <c r="O27" s="3"/>
    </row>
    <row r="28" spans="2:25" x14ac:dyDescent="0.25">
      <c r="B28" s="12">
        <v>4</v>
      </c>
      <c r="C28" s="77" t="s">
        <v>49</v>
      </c>
      <c r="D28" s="6">
        <v>40</v>
      </c>
      <c r="E28" s="5">
        <f t="shared" si="10"/>
        <v>20000</v>
      </c>
      <c r="F28" s="5">
        <f t="shared" si="11"/>
        <v>44000</v>
      </c>
      <c r="G28" s="126"/>
      <c r="I28" s="12"/>
      <c r="J28" s="77"/>
      <c r="K28" s="6"/>
      <c r="L28" s="5">
        <f t="shared" si="12"/>
        <v>0</v>
      </c>
      <c r="M28" s="5">
        <f t="shared" si="8"/>
        <v>0</v>
      </c>
      <c r="N28" s="5">
        <f t="shared" si="9"/>
        <v>0</v>
      </c>
      <c r="O28" s="3"/>
    </row>
    <row r="29" spans="2:25" x14ac:dyDescent="0.25">
      <c r="B29" s="12">
        <v>5</v>
      </c>
      <c r="C29" s="77" t="s">
        <v>56</v>
      </c>
      <c r="D29" s="6">
        <v>40</v>
      </c>
      <c r="E29" s="5">
        <f t="shared" si="10"/>
        <v>24000</v>
      </c>
      <c r="F29" s="5">
        <f t="shared" si="11"/>
        <v>60000</v>
      </c>
      <c r="G29" s="126"/>
      <c r="I29" s="12"/>
      <c r="J29" s="77"/>
      <c r="K29" s="6"/>
      <c r="L29" s="5">
        <f t="shared" si="12"/>
        <v>0</v>
      </c>
      <c r="M29" s="5">
        <f t="shared" si="8"/>
        <v>0</v>
      </c>
      <c r="N29" s="5">
        <f t="shared" si="9"/>
        <v>0</v>
      </c>
      <c r="O29" s="3"/>
    </row>
    <row r="30" spans="2:25" x14ac:dyDescent="0.25">
      <c r="B30" s="12">
        <v>5</v>
      </c>
      <c r="C30" s="77" t="s">
        <v>59</v>
      </c>
      <c r="D30" s="6">
        <v>50</v>
      </c>
      <c r="E30" s="5">
        <f t="shared" si="10"/>
        <v>40000</v>
      </c>
      <c r="F30" s="5">
        <f t="shared" si="11"/>
        <v>120000</v>
      </c>
      <c r="G30" s="126"/>
      <c r="I30" s="12"/>
      <c r="J30" s="77"/>
      <c r="K30" s="6"/>
      <c r="L30" s="5">
        <f t="shared" si="12"/>
        <v>0</v>
      </c>
      <c r="M30" s="5">
        <f t="shared" si="8"/>
        <v>0</v>
      </c>
      <c r="N30" s="5">
        <f t="shared" si="9"/>
        <v>0</v>
      </c>
      <c r="O30" s="3"/>
    </row>
    <row r="31" spans="2:25" x14ac:dyDescent="0.25">
      <c r="B31" s="12"/>
      <c r="C31" s="77"/>
      <c r="D31" s="6"/>
      <c r="E31" s="5">
        <f t="shared" si="10"/>
        <v>0</v>
      </c>
      <c r="F31" s="5">
        <f t="shared" si="11"/>
        <v>0</v>
      </c>
      <c r="G31" s="126"/>
      <c r="I31" s="12"/>
      <c r="J31" s="77"/>
      <c r="K31" s="6"/>
      <c r="L31" s="5">
        <f t="shared" si="12"/>
        <v>0</v>
      </c>
      <c r="M31" s="5">
        <f t="shared" si="8"/>
        <v>0</v>
      </c>
      <c r="N31" s="5">
        <f t="shared" si="9"/>
        <v>0</v>
      </c>
      <c r="O31" s="3"/>
    </row>
    <row r="32" spans="2:25" x14ac:dyDescent="0.25">
      <c r="B32" s="12"/>
      <c r="C32" s="77"/>
      <c r="D32" s="6"/>
      <c r="E32" s="5">
        <f t="shared" si="10"/>
        <v>0</v>
      </c>
      <c r="F32" s="5">
        <f t="shared" si="11"/>
        <v>0</v>
      </c>
      <c r="G32" s="126"/>
      <c r="I32" s="12"/>
      <c r="J32" s="77"/>
      <c r="K32" s="6"/>
      <c r="L32" s="5">
        <f t="shared" si="12"/>
        <v>0</v>
      </c>
      <c r="M32" s="5">
        <f t="shared" si="8"/>
        <v>0</v>
      </c>
      <c r="N32" s="5">
        <f t="shared" si="9"/>
        <v>0</v>
      </c>
      <c r="O32" s="3"/>
    </row>
    <row r="33" spans="1:15" x14ac:dyDescent="0.25">
      <c r="B33" s="12"/>
      <c r="C33" s="77"/>
      <c r="D33" s="6"/>
      <c r="E33" s="5">
        <f t="shared" si="10"/>
        <v>0</v>
      </c>
      <c r="F33" s="5">
        <f t="shared" si="11"/>
        <v>0</v>
      </c>
      <c r="G33" s="126"/>
      <c r="I33" s="12"/>
      <c r="J33" s="77"/>
      <c r="K33" s="6"/>
      <c r="L33" s="5">
        <f t="shared" si="12"/>
        <v>0</v>
      </c>
      <c r="M33" s="5">
        <f t="shared" si="8"/>
        <v>0</v>
      </c>
      <c r="N33" s="5">
        <f t="shared" si="9"/>
        <v>0</v>
      </c>
      <c r="O33" s="3"/>
    </row>
    <row r="34" spans="1:15" ht="15.75" thickBot="1" x14ac:dyDescent="0.3">
      <c r="B34" s="99"/>
      <c r="C34" s="100"/>
      <c r="D34" s="85"/>
      <c r="E34" s="87">
        <f t="shared" si="10"/>
        <v>0</v>
      </c>
      <c r="F34" s="87">
        <f t="shared" si="11"/>
        <v>0</v>
      </c>
      <c r="G34" s="126"/>
      <c r="I34" s="99"/>
      <c r="J34" s="100"/>
      <c r="K34" s="85"/>
      <c r="L34" s="87">
        <f t="shared" si="12"/>
        <v>0</v>
      </c>
      <c r="M34" s="87">
        <f t="shared" si="8"/>
        <v>0</v>
      </c>
      <c r="N34" s="87">
        <f t="shared" si="9"/>
        <v>0</v>
      </c>
      <c r="O34" s="3"/>
    </row>
    <row r="35" spans="1:15" ht="15.75" thickTop="1" x14ac:dyDescent="0.25">
      <c r="B35" s="97" t="s">
        <v>23</v>
      </c>
      <c r="C35" s="98"/>
      <c r="D35" s="83">
        <f>SUM(D21:D34)</f>
        <v>450</v>
      </c>
      <c r="E35" s="83">
        <f>SUM(E21:E34)</f>
        <v>332500</v>
      </c>
      <c r="F35" s="83">
        <f>SUM(F21:F34)</f>
        <v>912000</v>
      </c>
      <c r="G35" s="127"/>
      <c r="I35" s="97" t="s">
        <v>23</v>
      </c>
      <c r="J35" s="98"/>
      <c r="K35" s="83">
        <f>SUM(K21:K34)</f>
        <v>50</v>
      </c>
      <c r="L35" s="83">
        <f>SUM(L21:L34)</f>
        <v>32500</v>
      </c>
      <c r="M35" s="83">
        <f>SUM(M21:M34)</f>
        <v>66250</v>
      </c>
      <c r="N35" s="83">
        <f>SUM(N21:N34)</f>
        <v>0</v>
      </c>
      <c r="O35" s="3"/>
    </row>
    <row r="36" spans="1:15" x14ac:dyDescent="0.25">
      <c r="O36" s="3"/>
    </row>
    <row r="37" spans="1:15" ht="15.75" x14ac:dyDescent="0.25">
      <c r="B37" s="11" t="s">
        <v>24</v>
      </c>
      <c r="C37" s="11"/>
      <c r="D37" s="11"/>
      <c r="E37" s="11"/>
      <c r="F37" s="11"/>
      <c r="G37" s="11"/>
      <c r="H37" s="11"/>
      <c r="I37" s="11"/>
      <c r="J37" s="11"/>
      <c r="K37" s="22"/>
      <c r="L37" s="22"/>
      <c r="M37" s="22"/>
      <c r="N37" s="22"/>
      <c r="O37" s="3"/>
    </row>
    <row r="38" spans="1:15" ht="15.75" thickBot="1" x14ac:dyDescent="0.3">
      <c r="O38" s="3"/>
    </row>
    <row r="39" spans="1:15" x14ac:dyDescent="0.25">
      <c r="A39" s="3"/>
      <c r="B39" s="68" t="s">
        <v>17</v>
      </c>
      <c r="C39" s="69" t="s">
        <v>16</v>
      </c>
      <c r="D39" s="70" t="s">
        <v>37</v>
      </c>
      <c r="E39" s="71" t="s">
        <v>26</v>
      </c>
      <c r="F39" s="71" t="s">
        <v>30</v>
      </c>
      <c r="G39" s="71"/>
      <c r="H39" s="71" t="s">
        <v>28</v>
      </c>
      <c r="I39" s="71" t="s">
        <v>29</v>
      </c>
      <c r="J39" s="71" t="s">
        <v>115</v>
      </c>
      <c r="K39" s="71" t="s">
        <v>27</v>
      </c>
      <c r="L39" s="72" t="s">
        <v>116</v>
      </c>
      <c r="M39" s="72" t="s">
        <v>62</v>
      </c>
      <c r="N39" s="73" t="s">
        <v>45</v>
      </c>
      <c r="O39" s="3"/>
    </row>
    <row r="40" spans="1:15" x14ac:dyDescent="0.25">
      <c r="A40" s="3"/>
      <c r="B40" s="68" cm="1">
        <f t="array" ref="B40:B44">_xlfn.UNIQUE(_xlfn._xlws.FILTER(B21:B34,B21:B34&lt;&gt;""))</f>
        <v>1</v>
      </c>
      <c r="C40" s="66">
        <f>SUMIF($B$21:$B$34,B40,$D$21:$D$34)+SUMIF($I$21:$I$34,B40,$K$21:$K$34)</f>
        <v>100</v>
      </c>
      <c r="D40" s="5">
        <f>SUMIF($B$21:$B$34,B40,$D$21:$D$34)+($B$74="Rent to Council")*SUMIF($I$21:$I$34,B40,$K$21:$K$34)</f>
        <v>100</v>
      </c>
      <c r="E40" s="5">
        <f>SUMIF($B$21:$B$34,B40,$E$21:$E$34)+SUMIF($I$21:$I$34,B40,$L$21:$L$34)</f>
        <v>55000</v>
      </c>
      <c r="F40" s="6">
        <v>72000</v>
      </c>
      <c r="G40" s="6"/>
      <c r="H40" s="14">
        <f t="shared" ref="H40:H45" si="13">IFERROR(E40/F40,0)</f>
        <v>0.76388888888888884</v>
      </c>
      <c r="I40" s="6">
        <v>100</v>
      </c>
      <c r="J40" s="5">
        <f>SUMIF($B$21:$B$34,B40,$D$21:$D$34)</f>
        <v>90</v>
      </c>
      <c r="K40" s="5">
        <f>SUMIF($B$21:$B$34,B40,$F$21:$F$34)</f>
        <v>119000</v>
      </c>
      <c r="L40" s="5">
        <f>($B$74="Rent to Council")*SUMIF($I$21:$I$34,B40,$K$21:$K$34)</f>
        <v>10</v>
      </c>
      <c r="M40" s="5">
        <f>SUMIF($I$21:$I$34,B40,$M$21:$M$34)</f>
        <v>8750</v>
      </c>
      <c r="N40" s="30">
        <v>1</v>
      </c>
      <c r="O40" s="3"/>
    </row>
    <row r="41" spans="1:15" x14ac:dyDescent="0.25">
      <c r="B41" s="68">
        <v>2</v>
      </c>
      <c r="C41" s="66">
        <f>SUMIF($B$21:$B$34,B41,$D$21:$D$34)+SUMIF($I$21:$I$34,B41,$K$21:$K$34)</f>
        <v>100</v>
      </c>
      <c r="D41" s="5">
        <f>SUMIF($B$21:$B$34,B41,$D$21:$D$34)+($B$74="Rent to Council")*SUMIF($I$21:$I$34,B41,$K$21:$K$34)</f>
        <v>100</v>
      </c>
      <c r="E41" s="5">
        <f>SUMIF($B$21:$B$34,B41,$E$21:$E$34)+SUMIF($I$21:$I$34,B41,$L$21:$L$34)</f>
        <v>70000</v>
      </c>
      <c r="F41" s="6">
        <v>80000</v>
      </c>
      <c r="G41" s="6"/>
      <c r="H41" s="14">
        <f t="shared" si="13"/>
        <v>0.875</v>
      </c>
      <c r="I41" s="6">
        <v>100</v>
      </c>
      <c r="J41" s="5">
        <f>SUMIF($B$21:$B$34,B41,$D$21:$D$34)</f>
        <v>90</v>
      </c>
      <c r="K41" s="5">
        <f>SUMIF($B$21:$B$34,B41,$F$21:$F$34)</f>
        <v>174000</v>
      </c>
      <c r="L41" s="5">
        <f>($B$74="Rent to Council")*SUMIF($I$21:$I$34,B41,$K$21:$K$34)</f>
        <v>10</v>
      </c>
      <c r="M41" s="5">
        <f>SUMIF($I$21:$I$34,B41,$M$21:$M$34)</f>
        <v>12750</v>
      </c>
      <c r="N41" s="30">
        <v>2</v>
      </c>
      <c r="O41" s="3"/>
    </row>
    <row r="42" spans="1:15" x14ac:dyDescent="0.25">
      <c r="B42" s="68">
        <v>3</v>
      </c>
      <c r="C42" s="66">
        <f>SUMIF($B$21:$B$34,B42,$D$21:$D$34)+SUMIF($I$21:$I$34,B42,$K$21:$K$34)</f>
        <v>100</v>
      </c>
      <c r="D42" s="5">
        <f>SUMIF($B$21:$B$34,B42,$D$21:$D$34)+($B$74="Rent to Council")*SUMIF($I$21:$I$34,B42,$K$21:$K$34)</f>
        <v>100</v>
      </c>
      <c r="E42" s="5">
        <f>SUMIF($B$21:$B$34,B42,$E$21:$E$34)+SUMIF($I$21:$I$34,B42,$L$21:$L$34)</f>
        <v>90000</v>
      </c>
      <c r="F42" s="6">
        <v>105000</v>
      </c>
      <c r="G42" s="6"/>
      <c r="H42" s="14">
        <f t="shared" si="13"/>
        <v>0.8571428571428571</v>
      </c>
      <c r="I42" s="6">
        <v>100</v>
      </c>
      <c r="J42" s="5">
        <f>SUMIF($B$21:$B$34,B42,$D$21:$D$34)</f>
        <v>90</v>
      </c>
      <c r="K42" s="5">
        <f>SUMIF($B$21:$B$34,B42,$F$21:$F$34)</f>
        <v>240000</v>
      </c>
      <c r="L42" s="5">
        <f>($B$74="Rent to Council")*SUMIF($I$21:$I$34,B42,$K$21:$K$34)</f>
        <v>10</v>
      </c>
      <c r="M42" s="5">
        <f>SUMIF($I$21:$I$34,B42,$M$21:$M$34)</f>
        <v>24000</v>
      </c>
      <c r="N42" s="30">
        <v>3</v>
      </c>
      <c r="O42" s="3"/>
    </row>
    <row r="43" spans="1:15" x14ac:dyDescent="0.25">
      <c r="B43" s="68">
        <v>4</v>
      </c>
      <c r="C43" s="66">
        <f>SUMIF($B$21:$B$34,B43,$D$21:$D$34)+SUMIF($I$21:$I$34,B43,$K$21:$K$34)</f>
        <v>100</v>
      </c>
      <c r="D43" s="5">
        <f>SUMIF($B$21:$B$34,B43,$D$21:$D$34)+($B$74="Rent to Council")*SUMIF($I$21:$I$34,B43,$K$21:$K$34)</f>
        <v>100</v>
      </c>
      <c r="E43" s="5">
        <f>SUMIF($B$21:$B$34,B43,$E$21:$E$34)+SUMIF($I$21:$I$34,B43,$L$21:$L$34)</f>
        <v>80000</v>
      </c>
      <c r="F43" s="6">
        <v>93000</v>
      </c>
      <c r="G43" s="6"/>
      <c r="H43" s="14">
        <f t="shared" si="13"/>
        <v>0.86021505376344087</v>
      </c>
      <c r="I43" s="6">
        <v>100</v>
      </c>
      <c r="J43" s="5">
        <f>SUMIF($B$21:$B$34,B43,$D$21:$D$34)</f>
        <v>90</v>
      </c>
      <c r="K43" s="5">
        <f>SUMIF($B$21:$B$34,B43,$F$21:$F$34)</f>
        <v>199000</v>
      </c>
      <c r="L43" s="5">
        <f>($B$74="Rent to Council")*SUMIF($I$21:$I$34,B43,$K$21:$K$34)</f>
        <v>10</v>
      </c>
      <c r="M43" s="5">
        <f>SUMIF($I$21:$I$34,B43,$M$21:$M$34)</f>
        <v>8750</v>
      </c>
      <c r="N43" s="30">
        <v>4</v>
      </c>
      <c r="O43" s="3"/>
    </row>
    <row r="44" spans="1:15" ht="15.75" thickBot="1" x14ac:dyDescent="0.3">
      <c r="B44" s="90">
        <v>5</v>
      </c>
      <c r="C44" s="92">
        <f>SUMIF($B$21:$B$34,B44,$D$21:$D$34)+SUMIF($I$21:$I$34,B44,$K$21:$K$34)</f>
        <v>100</v>
      </c>
      <c r="D44" s="87">
        <f>SUMIF($B$21:$B$34,B44,$D$21:$D$34)+($B$74="Rent to Council")*SUMIF($I$21:$I$34,B44,$K$21:$K$34)</f>
        <v>100</v>
      </c>
      <c r="E44" s="87">
        <f>SUMIF($B$21:$B$34,B44,$E$21:$E$34)+SUMIF($I$21:$I$34,B44,$L$21:$L$34)</f>
        <v>70000</v>
      </c>
      <c r="F44" s="85">
        <v>80000</v>
      </c>
      <c r="G44" s="85"/>
      <c r="H44" s="88">
        <f t="shared" si="13"/>
        <v>0.875</v>
      </c>
      <c r="I44" s="85">
        <v>100</v>
      </c>
      <c r="J44" s="87">
        <f>SUMIF($B$21:$B$34,B44,$D$21:$D$34)</f>
        <v>90</v>
      </c>
      <c r="K44" s="87">
        <f>SUMIF($B$21:$B$34,B44,$F$21:$F$34)</f>
        <v>180000</v>
      </c>
      <c r="L44" s="87">
        <f>($B$74="Rent to Council")*SUMIF($I$21:$I$34,B44,$K$21:$K$34)</f>
        <v>10</v>
      </c>
      <c r="M44" s="87">
        <f>SUMIF($I$21:$I$34,B44,$M$21:$M$34)</f>
        <v>12000</v>
      </c>
      <c r="N44" s="30">
        <v>5</v>
      </c>
      <c r="O44" s="3"/>
    </row>
    <row r="45" spans="1:15" ht="16.5" thickTop="1" thickBot="1" x14ac:dyDescent="0.3">
      <c r="B45" s="94" t="s">
        <v>23</v>
      </c>
      <c r="C45" s="91">
        <f>SUM(C40:C44)</f>
        <v>500</v>
      </c>
      <c r="D45" s="83">
        <f>SUM(D40:D44)</f>
        <v>500</v>
      </c>
      <c r="E45" s="83">
        <f>SUM(E40:E44)</f>
        <v>365000</v>
      </c>
      <c r="F45" s="83">
        <f>SUM(F40:F44)</f>
        <v>430000</v>
      </c>
      <c r="G45" s="83"/>
      <c r="H45" s="95">
        <f t="shared" si="13"/>
        <v>0.84883720930232553</v>
      </c>
      <c r="I45" s="83">
        <f>SUM(I40:I44)</f>
        <v>500</v>
      </c>
      <c r="J45" s="83">
        <f>SUM(J40:J44)</f>
        <v>450</v>
      </c>
      <c r="K45" s="83">
        <f>SUM(K40:K44)</f>
        <v>912000</v>
      </c>
      <c r="L45" s="80">
        <f>SUM(L40:L44)</f>
        <v>50</v>
      </c>
      <c r="M45" s="80">
        <f>SUM(M40:M44)</f>
        <v>66250</v>
      </c>
      <c r="N45" s="96">
        <f>MAX(N40:N44)</f>
        <v>5</v>
      </c>
      <c r="O45" s="3"/>
    </row>
    <row r="46" spans="1:15" x14ac:dyDescent="0.25">
      <c r="O46" s="3"/>
    </row>
    <row r="47" spans="1:15" x14ac:dyDescent="0.25">
      <c r="O47" s="3"/>
    </row>
    <row r="48" spans="1:15" s="15" customFormat="1" ht="19.5" thickBot="1" x14ac:dyDescent="0.35">
      <c r="B48" s="16" t="s">
        <v>41</v>
      </c>
    </row>
    <row r="50" spans="2:23" ht="15.75" x14ac:dyDescent="0.25">
      <c r="B50" s="11" t="s">
        <v>44</v>
      </c>
      <c r="C50" s="11"/>
      <c r="D50" s="11"/>
      <c r="E50" s="11"/>
      <c r="F50" s="11"/>
      <c r="G50" s="11"/>
      <c r="H50" s="11"/>
      <c r="I50" s="11"/>
      <c r="J50" s="11"/>
      <c r="K50" s="22"/>
      <c r="L50" s="22"/>
      <c r="M50" s="22"/>
      <c r="N50" s="22"/>
      <c r="Q50" s="3"/>
      <c r="R50" s="3"/>
      <c r="S50" s="3"/>
      <c r="T50" s="3"/>
      <c r="U50" s="3"/>
      <c r="V50" s="3"/>
      <c r="W50" s="3"/>
    </row>
    <row r="52" spans="2:23" x14ac:dyDescent="0.25">
      <c r="B52" s="74" t="s">
        <v>31</v>
      </c>
      <c r="C52" s="69" t="s">
        <v>38</v>
      </c>
      <c r="D52" s="71" t="s">
        <v>39</v>
      </c>
      <c r="E52" s="71" t="s">
        <v>40</v>
      </c>
      <c r="F52" s="71" t="s">
        <v>43</v>
      </c>
      <c r="G52" s="71" t="s">
        <v>162</v>
      </c>
      <c r="H52" s="71" t="s">
        <v>42</v>
      </c>
      <c r="I52" s="75">
        <v>3</v>
      </c>
      <c r="J52" s="70" t="s">
        <v>37</v>
      </c>
      <c r="K52" s="70" t="s">
        <v>30</v>
      </c>
      <c r="L52" s="70" t="s">
        <v>29</v>
      </c>
      <c r="M52" s="70" t="s">
        <v>27</v>
      </c>
      <c r="N52" s="76" t="s">
        <v>62</v>
      </c>
    </row>
    <row r="53" spans="2:23" x14ac:dyDescent="0.25">
      <c r="B53" s="68">
        <v>1</v>
      </c>
      <c r="C53" s="67">
        <v>43983</v>
      </c>
      <c r="D53" s="6">
        <v>14</v>
      </c>
      <c r="E53" s="28">
        <f>EDATE(C53,D53)</f>
        <v>44409</v>
      </c>
      <c r="F53" s="5"/>
      <c r="G53" s="5">
        <f>SUMIF($N$40:$N$44,B53,$C$40:$C$44)</f>
        <v>100</v>
      </c>
      <c r="H53" s="14"/>
      <c r="I53" s="28">
        <f>EDATE(E53,-$I$52)</f>
        <v>44317</v>
      </c>
      <c r="J53" s="5">
        <f>SUMIF($N$40:$N$44,B53,$D$40:$D$44)</f>
        <v>100</v>
      </c>
      <c r="K53" s="5">
        <f>SUMIF($N$40:$N$44,B53,$F$40:$F$44)</f>
        <v>72000</v>
      </c>
      <c r="L53" s="5">
        <f>SUMIF($N$40:$N$44,B53,$I$40:$I$44)</f>
        <v>100</v>
      </c>
      <c r="M53" s="5">
        <f>SUMIF($N$40:$N$44,B53,$K$40:$K$44)</f>
        <v>119000</v>
      </c>
      <c r="N53" s="5">
        <f>SUMIF($N$40:$N$44,B53,$M$40:$M$44)</f>
        <v>8750</v>
      </c>
    </row>
    <row r="54" spans="2:23" x14ac:dyDescent="0.25">
      <c r="B54" s="68">
        <v>2</v>
      </c>
      <c r="C54" s="67">
        <f>EDATE(C53,4)</f>
        <v>44105</v>
      </c>
      <c r="D54" s="6">
        <v>15</v>
      </c>
      <c r="E54" s="28">
        <f>EDATE(C54,D54)</f>
        <v>44562</v>
      </c>
      <c r="F54" s="5"/>
      <c r="G54" s="5">
        <f t="shared" ref="G54:G57" si="14">SUMIF($N$40:$N$44,B54,$C$40:$C$44)</f>
        <v>100</v>
      </c>
      <c r="H54" s="14"/>
      <c r="I54" s="28">
        <f>EDATE(E54,-$I$52)</f>
        <v>44470</v>
      </c>
      <c r="J54" s="5">
        <f>SUMIF($N$40:$N$44,B54,$D$40:$D$44)</f>
        <v>100</v>
      </c>
      <c r="K54" s="5">
        <f>SUMIF($N$40:$N$44,B54,$F$40:$F$44)</f>
        <v>80000</v>
      </c>
      <c r="L54" s="5">
        <f>SUMIF($N$40:$N$44,B54,$I$40:$I$44)</f>
        <v>100</v>
      </c>
      <c r="M54" s="5">
        <f>SUMIF($N$40:$N$44,B54,$K$40:$K$44)</f>
        <v>174000</v>
      </c>
      <c r="N54" s="5">
        <f>SUMIF($N$40:$N$44,B54,$M$40:$M$44)</f>
        <v>12750</v>
      </c>
    </row>
    <row r="55" spans="2:23" x14ac:dyDescent="0.25">
      <c r="B55" s="68">
        <v>3</v>
      </c>
      <c r="C55" s="67">
        <f>EDATE(C54,4)</f>
        <v>44228</v>
      </c>
      <c r="D55" s="6">
        <v>16</v>
      </c>
      <c r="E55" s="28">
        <f>EDATE(C55,D55)</f>
        <v>44713</v>
      </c>
      <c r="F55" s="5"/>
      <c r="G55" s="5">
        <f t="shared" si="14"/>
        <v>100</v>
      </c>
      <c r="H55" s="14"/>
      <c r="I55" s="28">
        <f>EDATE(E55,-$I$52)</f>
        <v>44621</v>
      </c>
      <c r="J55" s="5">
        <f>SUMIF($N$40:$N$44,B55,$D$40:$D$44)</f>
        <v>100</v>
      </c>
      <c r="K55" s="5">
        <f>SUMIF($N$40:$N$44,B55,$F$40:$F$44)</f>
        <v>105000</v>
      </c>
      <c r="L55" s="5">
        <f>SUMIF($N$40:$N$44,B55,$I$40:$I$44)</f>
        <v>100</v>
      </c>
      <c r="M55" s="5">
        <f>SUMIF($N$40:$N$44,B55,$K$40:$K$44)</f>
        <v>240000</v>
      </c>
      <c r="N55" s="5">
        <f>SUMIF($N$40:$N$44,B55,$M$40:$M$44)</f>
        <v>24000</v>
      </c>
    </row>
    <row r="56" spans="2:23" x14ac:dyDescent="0.25">
      <c r="B56" s="68">
        <v>4</v>
      </c>
      <c r="C56" s="67">
        <f>EDATE(C55,4)</f>
        <v>44348</v>
      </c>
      <c r="D56" s="6">
        <v>18</v>
      </c>
      <c r="E56" s="28">
        <f>EDATE(C56,D56)</f>
        <v>44896</v>
      </c>
      <c r="F56" s="5"/>
      <c r="G56" s="5">
        <f t="shared" si="14"/>
        <v>100</v>
      </c>
      <c r="H56" s="14"/>
      <c r="I56" s="28">
        <f>EDATE(E56,-$I$52)</f>
        <v>44805</v>
      </c>
      <c r="J56" s="5">
        <f>SUMIF($N$40:$N$44,B56,$D$40:$D$44)</f>
        <v>100</v>
      </c>
      <c r="K56" s="5">
        <f>SUMIF($N$40:$N$44,B56,$F$40:$F$44)</f>
        <v>93000</v>
      </c>
      <c r="L56" s="5">
        <f>SUMIF($N$40:$N$44,B56,$I$40:$I$44)</f>
        <v>100</v>
      </c>
      <c r="M56" s="5">
        <f>SUMIF($N$40:$N$44,B56,$K$40:$K$44)</f>
        <v>199000</v>
      </c>
      <c r="N56" s="5">
        <f>SUMIF($N$40:$N$44,B56,$M$40:$M$44)</f>
        <v>8750</v>
      </c>
    </row>
    <row r="57" spans="2:23" ht="15.75" thickBot="1" x14ac:dyDescent="0.3">
      <c r="B57" s="90">
        <v>5</v>
      </c>
      <c r="C57" s="84">
        <f>EDATE(C56,4)</f>
        <v>44470</v>
      </c>
      <c r="D57" s="85">
        <v>20</v>
      </c>
      <c r="E57" s="86">
        <f>EDATE(C57,D57)</f>
        <v>45078</v>
      </c>
      <c r="F57" s="87"/>
      <c r="G57" s="87">
        <f t="shared" si="14"/>
        <v>100</v>
      </c>
      <c r="H57" s="88"/>
      <c r="I57" s="86">
        <f>EDATE(E57,-$I$52)</f>
        <v>44986</v>
      </c>
      <c r="J57" s="87">
        <f>SUMIF($N$40:$N$44,B57,$D$40:$D$44)</f>
        <v>100</v>
      </c>
      <c r="K57" s="87">
        <f>SUMIF($N$40:$N$44,B57,$F$40:$F$44)</f>
        <v>80000</v>
      </c>
      <c r="L57" s="87">
        <f>SUMIF($N$40:$N$44,B57,$I$40:$I$44)</f>
        <v>100</v>
      </c>
      <c r="M57" s="87">
        <f>SUMIF($N$40:$N$44,B57,$K$40:$K$44)</f>
        <v>180000</v>
      </c>
      <c r="N57" s="87">
        <f>SUMIF($N$40:$N$44,B57,$M$40:$M$44)</f>
        <v>12000</v>
      </c>
    </row>
    <row r="58" spans="2:23" ht="15.75" thickTop="1" x14ac:dyDescent="0.25">
      <c r="B58" s="89" t="s">
        <v>23</v>
      </c>
      <c r="C58" s="79">
        <f>MIN(C53:C57)</f>
        <v>43983</v>
      </c>
      <c r="D58" s="80">
        <f ca="1">DATEDIF(C58,E58,"m")</f>
        <v>36</v>
      </c>
      <c r="E58" s="81">
        <f ca="1">MAX(E53:OFFSET(E52,N45,0))</f>
        <v>45078</v>
      </c>
      <c r="F58" s="80"/>
      <c r="G58" s="80">
        <f>SUM(G53:G57)</f>
        <v>500</v>
      </c>
      <c r="H58" s="80"/>
      <c r="I58" s="82"/>
      <c r="J58" s="83">
        <f>SUM(J53:J57)</f>
        <v>500</v>
      </c>
      <c r="K58" s="83">
        <f>SUM(K53:K57)</f>
        <v>430000</v>
      </c>
      <c r="L58" s="83">
        <f>SUM(L53:L57)</f>
        <v>500</v>
      </c>
      <c r="M58" s="83">
        <f>SUM(M53:M57)</f>
        <v>912000</v>
      </c>
      <c r="N58" s="83">
        <f>SUM(N53:N57)</f>
        <v>66250</v>
      </c>
    </row>
    <row r="60" spans="2:23" s="15" customFormat="1" ht="19.5" thickBot="1" x14ac:dyDescent="0.35">
      <c r="B60" s="16" t="s">
        <v>109</v>
      </c>
    </row>
    <row r="62" spans="2:23" ht="15.75" x14ac:dyDescent="0.25">
      <c r="B62" s="11" t="s">
        <v>96</v>
      </c>
      <c r="C62" s="11"/>
      <c r="D62" s="11"/>
      <c r="E62" s="11"/>
      <c r="F62" s="11"/>
      <c r="G62" s="11"/>
      <c r="H62" s="11"/>
      <c r="I62" s="29"/>
      <c r="K62" s="64" t="s">
        <v>141</v>
      </c>
      <c r="L62" s="64"/>
      <c r="M62" s="64"/>
      <c r="N62" s="64"/>
    </row>
    <row r="64" spans="2:23" x14ac:dyDescent="0.25">
      <c r="B64" s="68" t="s">
        <v>31</v>
      </c>
      <c r="C64" s="69" t="s">
        <v>113</v>
      </c>
      <c r="D64" s="72" t="s">
        <v>114</v>
      </c>
      <c r="E64" s="71" t="s">
        <v>110</v>
      </c>
      <c r="F64" s="71" t="s">
        <v>111</v>
      </c>
      <c r="G64" s="71" t="s">
        <v>112</v>
      </c>
      <c r="H64" s="71" t="s">
        <v>117</v>
      </c>
      <c r="K64" s="71" t="s">
        <v>138</v>
      </c>
      <c r="L64" s="72" t="s">
        <v>139</v>
      </c>
      <c r="M64" s="71" t="s">
        <v>140</v>
      </c>
      <c r="N64" s="71" t="s">
        <v>160</v>
      </c>
    </row>
    <row r="65" spans="2:14" x14ac:dyDescent="0.25">
      <c r="B65" s="68">
        <v>1</v>
      </c>
      <c r="C65" s="66">
        <f>SUMIF($N$40:$N$44,B65,$J$40:$J$44)</f>
        <v>90</v>
      </c>
      <c r="D65" s="5">
        <f>SUMIF($N$40:$N$44,B65,$L$40:$L$44)</f>
        <v>10</v>
      </c>
      <c r="E65" s="28">
        <f>EDATE(E53,1)</f>
        <v>44440</v>
      </c>
      <c r="F65" s="51">
        <f>'Income_Expenditure Schedule'!$C$100</f>
        <v>4</v>
      </c>
      <c r="G65" s="5">
        <f>ROUND(C65/F65,0)</f>
        <v>23</v>
      </c>
      <c r="H65" s="5">
        <f>ROUND(C65*'Income_Expenditure Schedule'!$E$105,0)</f>
        <v>2</v>
      </c>
      <c r="K65" s="5">
        <f>M53*12/'Income_Expenditure Schedule'!$C$85</f>
        <v>17850000</v>
      </c>
      <c r="L65" s="5">
        <f>N53*12/'Income_Expenditure Schedule'!$C$85</f>
        <v>1312500</v>
      </c>
      <c r="M65" s="5">
        <f>SUM(K65:L65)</f>
        <v>19162500</v>
      </c>
      <c r="N65" s="5">
        <f>M65*'Income_Expenditure Schedule'!$C$83</f>
        <v>12455625</v>
      </c>
    </row>
    <row r="66" spans="2:14" x14ac:dyDescent="0.25">
      <c r="B66" s="68">
        <v>2</v>
      </c>
      <c r="C66" s="66">
        <f>SUMIF($N$40:$N$44,B66,$J$40:$J$44)</f>
        <v>90</v>
      </c>
      <c r="D66" s="5">
        <f>SUMIF($N$40:$N$44,B66,$L$40:$L$44)</f>
        <v>10</v>
      </c>
      <c r="E66" s="28">
        <f>EDATE(E54,1)</f>
        <v>44593</v>
      </c>
      <c r="F66" s="51">
        <f>'Income_Expenditure Schedule'!$C$100</f>
        <v>4</v>
      </c>
      <c r="G66" s="5">
        <f>ROUND(C66/F66,0)</f>
        <v>23</v>
      </c>
      <c r="H66" s="5">
        <f>ROUND(C66*'Income_Expenditure Schedule'!$E$105,0)</f>
        <v>2</v>
      </c>
      <c r="K66" s="5">
        <f>M54*12/'Income_Expenditure Schedule'!$C$85</f>
        <v>26100000</v>
      </c>
      <c r="L66" s="5">
        <f>N54*12/'Income_Expenditure Schedule'!$C$85</f>
        <v>1912500</v>
      </c>
      <c r="M66" s="5">
        <f t="shared" ref="M66:M69" si="15">SUM(K66:L66)</f>
        <v>28012500</v>
      </c>
      <c r="N66" s="5">
        <f>M66*'Income_Expenditure Schedule'!$C$83</f>
        <v>18208125</v>
      </c>
    </row>
    <row r="67" spans="2:14" x14ac:dyDescent="0.25">
      <c r="B67" s="68">
        <v>3</v>
      </c>
      <c r="C67" s="66">
        <f>SUMIF($N$40:$N$44,B67,$J$40:$J$44)</f>
        <v>90</v>
      </c>
      <c r="D67" s="5">
        <f>SUMIF($N$40:$N$44,B67,$L$40:$L$44)</f>
        <v>10</v>
      </c>
      <c r="E67" s="28">
        <f>EDATE(E55,1)</f>
        <v>44743</v>
      </c>
      <c r="F67" s="51">
        <f>'Income_Expenditure Schedule'!$C$100</f>
        <v>4</v>
      </c>
      <c r="G67" s="5">
        <f>ROUND(C67/F67,0)</f>
        <v>23</v>
      </c>
      <c r="H67" s="5">
        <f>ROUND(C67*'Income_Expenditure Schedule'!$E$105,0)</f>
        <v>2</v>
      </c>
      <c r="K67" s="5">
        <f>M55*12/'Income_Expenditure Schedule'!$C$85</f>
        <v>36000000</v>
      </c>
      <c r="L67" s="5">
        <f>N55*12/'Income_Expenditure Schedule'!$C$85</f>
        <v>3600000</v>
      </c>
      <c r="M67" s="5">
        <f t="shared" si="15"/>
        <v>39600000</v>
      </c>
      <c r="N67" s="5">
        <f>M67*'Income_Expenditure Schedule'!$C$83</f>
        <v>25740000</v>
      </c>
    </row>
    <row r="68" spans="2:14" x14ac:dyDescent="0.25">
      <c r="B68" s="68">
        <v>4</v>
      </c>
      <c r="C68" s="66">
        <f>SUMIF($N$40:$N$44,B68,$J$40:$J$44)</f>
        <v>90</v>
      </c>
      <c r="D68" s="5">
        <f>SUMIF($N$40:$N$44,B68,$L$40:$L$44)</f>
        <v>10</v>
      </c>
      <c r="E68" s="28">
        <f>EDATE(E56,1)</f>
        <v>44927</v>
      </c>
      <c r="F68" s="51">
        <f>'Income_Expenditure Schedule'!$C$100</f>
        <v>4</v>
      </c>
      <c r="G68" s="5">
        <f>ROUND(C68/F68,0)</f>
        <v>23</v>
      </c>
      <c r="H68" s="5">
        <f>ROUND(C68*'Income_Expenditure Schedule'!$E$105,0)</f>
        <v>2</v>
      </c>
      <c r="K68" s="5">
        <f>M56*12/'Income_Expenditure Schedule'!$C$85</f>
        <v>29850000</v>
      </c>
      <c r="L68" s="5">
        <f>N56*12/'Income_Expenditure Schedule'!$C$85</f>
        <v>1312500</v>
      </c>
      <c r="M68" s="5">
        <f t="shared" si="15"/>
        <v>31162500</v>
      </c>
      <c r="N68" s="5">
        <f>M68*'Income_Expenditure Schedule'!$C$83</f>
        <v>20255625</v>
      </c>
    </row>
    <row r="69" spans="2:14" ht="15.75" thickBot="1" x14ac:dyDescent="0.3">
      <c r="B69" s="90">
        <v>5</v>
      </c>
      <c r="C69" s="92">
        <f>SUMIF($N$40:$N$44,B69,$J$40:$J$44)</f>
        <v>90</v>
      </c>
      <c r="D69" s="87">
        <f>SUMIF($N$40:$N$44,B69,$L$40:$L$44)</f>
        <v>10</v>
      </c>
      <c r="E69" s="86">
        <f>EDATE(E57,1)</f>
        <v>45108</v>
      </c>
      <c r="F69" s="93">
        <f>'Income_Expenditure Schedule'!$C$100</f>
        <v>4</v>
      </c>
      <c r="G69" s="87">
        <f>ROUND(C69/F69,0)</f>
        <v>23</v>
      </c>
      <c r="H69" s="87">
        <f>ROUND(C69*'Income_Expenditure Schedule'!$E$105,0)</f>
        <v>2</v>
      </c>
      <c r="K69" s="87">
        <f>M57*12/'Income_Expenditure Schedule'!$C$85</f>
        <v>27000000</v>
      </c>
      <c r="L69" s="87">
        <f>N57*12/'Income_Expenditure Schedule'!$C$85</f>
        <v>1800000</v>
      </c>
      <c r="M69" s="87">
        <f t="shared" si="15"/>
        <v>28800000</v>
      </c>
      <c r="N69" s="87">
        <f>M69*'Income_Expenditure Schedule'!$C$83</f>
        <v>18720000</v>
      </c>
    </row>
    <row r="70" spans="2:14" ht="15.75" thickTop="1" x14ac:dyDescent="0.25">
      <c r="B70" s="89" t="s">
        <v>23</v>
      </c>
      <c r="C70" s="91">
        <f>SUM(C65:C69)</f>
        <v>450</v>
      </c>
      <c r="D70" s="83">
        <f>SUM(D65:D69)</f>
        <v>50</v>
      </c>
      <c r="E70" s="83"/>
      <c r="F70" s="83"/>
      <c r="G70" s="83"/>
      <c r="H70" s="83">
        <f>SUM(H65:H69)</f>
        <v>10</v>
      </c>
      <c r="K70" s="83">
        <f>SUM(K65:K69)</f>
        <v>136800000</v>
      </c>
      <c r="L70" s="83">
        <f>SUM(L65:L69)</f>
        <v>9937500</v>
      </c>
      <c r="M70" s="83">
        <f>SUM(M65:M69)</f>
        <v>146737500</v>
      </c>
      <c r="N70" s="83">
        <f>SUM(N65:N69)</f>
        <v>95379375</v>
      </c>
    </row>
    <row r="73" spans="2:14" x14ac:dyDescent="0.25">
      <c r="B73" s="41" t="s">
        <v>50</v>
      </c>
      <c r="C73" s="42"/>
      <c r="H73" s="3"/>
      <c r="I73" s="3"/>
      <c r="J73" s="3"/>
    </row>
    <row r="74" spans="2:14" x14ac:dyDescent="0.25">
      <c r="B74" s="37" t="s">
        <v>63</v>
      </c>
      <c r="H74" s="3"/>
      <c r="I74" s="3"/>
      <c r="J74" s="3"/>
    </row>
    <row r="75" spans="2:14" x14ac:dyDescent="0.25">
      <c r="H75" s="3"/>
      <c r="I75" s="3"/>
      <c r="J75" s="3"/>
    </row>
    <row r="76" spans="2:14" x14ac:dyDescent="0.25">
      <c r="H76" s="3"/>
      <c r="I76" s="3"/>
      <c r="J76" s="3"/>
    </row>
    <row r="77" spans="2:14" x14ac:dyDescent="0.25">
      <c r="H77" s="3"/>
      <c r="I77" s="3"/>
      <c r="J77" s="3"/>
    </row>
    <row r="78" spans="2:14" x14ac:dyDescent="0.25">
      <c r="J78" s="3"/>
    </row>
  </sheetData>
  <phoneticPr fontId="6" type="noConversion"/>
  <conditionalFormatting sqref="C54:F54 H54:N54">
    <cfRule type="expression" dxfId="11" priority="12">
      <formula>$B$54&gt;$N$45</formula>
    </cfRule>
  </conditionalFormatting>
  <conditionalFormatting sqref="C55:F55 H55:N55">
    <cfRule type="expression" dxfId="10" priority="11">
      <formula>$B$55&gt;$N$45</formula>
    </cfRule>
  </conditionalFormatting>
  <conditionalFormatting sqref="C56:F56 H56:N56">
    <cfRule type="expression" dxfId="9" priority="10">
      <formula>$B$56&gt;$N$45</formula>
    </cfRule>
  </conditionalFormatting>
  <conditionalFormatting sqref="C57:F57 H57:N57">
    <cfRule type="expression" dxfId="8" priority="9">
      <formula>$B$57&gt;$N$45</formula>
    </cfRule>
  </conditionalFormatting>
  <conditionalFormatting sqref="J66:N66 C66:H66">
    <cfRule type="expression" dxfId="7" priority="8">
      <formula>$B$66&gt;$N$45</formula>
    </cfRule>
  </conditionalFormatting>
  <conditionalFormatting sqref="J67:N67 C67:H67">
    <cfRule type="expression" dxfId="6" priority="7">
      <formula>$B$67&gt;$N$45</formula>
    </cfRule>
  </conditionalFormatting>
  <conditionalFormatting sqref="J68:N68 C68:H68">
    <cfRule type="expression" dxfId="5" priority="6">
      <formula>$B$68&gt;$N$45</formula>
    </cfRule>
  </conditionalFormatting>
  <conditionalFormatting sqref="J69:N69 C69:H69">
    <cfRule type="expression" dxfId="4" priority="5">
      <formula>$B$69&gt;$N$45</formula>
    </cfRule>
  </conditionalFormatting>
  <conditionalFormatting sqref="G54">
    <cfRule type="expression" dxfId="3" priority="4">
      <formula>$B$54&gt;$N$45</formula>
    </cfRule>
  </conditionalFormatting>
  <conditionalFormatting sqref="G55">
    <cfRule type="expression" dxfId="2" priority="3">
      <formula>$B$55&gt;$N$45</formula>
    </cfRule>
  </conditionalFormatting>
  <conditionalFormatting sqref="G56">
    <cfRule type="expression" dxfId="1" priority="2">
      <formula>$B$56&gt;$N$45</formula>
    </cfRule>
  </conditionalFormatting>
  <conditionalFormatting sqref="G57">
    <cfRule type="expression" dxfId="0" priority="1">
      <formula>$B$57&gt;$N$45</formula>
    </cfRule>
  </conditionalFormatting>
  <dataValidations count="3">
    <dataValidation type="list" allowBlank="1" showInputMessage="1" showErrorMessage="1" sqref="J21:J34" xr:uid="{328ED3AD-1503-4FC6-A822-42FD5BC12785}">
      <formula1>$B$7:$B$15</formula1>
    </dataValidation>
    <dataValidation type="list" allowBlank="1" showInputMessage="1" showErrorMessage="1" sqref="B74" xr:uid="{64374273-6688-4D4C-80B3-5E356A2F2B5B}">
      <formula1>"Sale to Council, Rent to Council"</formula1>
    </dataValidation>
    <dataValidation type="list" allowBlank="1" showInputMessage="1" showErrorMessage="1" sqref="C21:C34" xr:uid="{03066D1E-16C9-47A4-91AE-55A63F2163B7}">
      <formula1>$B$7:$B$16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Income_Expenditure Schedule</vt:lpstr>
      <vt:lpstr>Accom_Phase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Fierce-PC</dc:creator>
  <cp:lastModifiedBy>Mark Morgan</cp:lastModifiedBy>
  <dcterms:created xsi:type="dcterms:W3CDTF">2020-09-08T18:16:23Z</dcterms:created>
  <dcterms:modified xsi:type="dcterms:W3CDTF">2020-11-16T18:45:31Z</dcterms:modified>
</cp:coreProperties>
</file>