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Fierce-PC\Desktop\Project Appraise\"/>
    </mc:Choice>
  </mc:AlternateContent>
  <xr:revisionPtr revIDLastSave="0" documentId="13_ncr:1_{560B759B-C61C-41DC-BDF5-0FB41D06CA33}" xr6:coauthVersionLast="45" xr6:coauthVersionMax="45" xr10:uidLastSave="{00000000-0000-0000-0000-000000000000}"/>
  <bookViews>
    <workbookView xWindow="-28920" yWindow="-120" windowWidth="29040" windowHeight="15840" xr2:uid="{A18FAAF0-5491-4B5C-A18C-FC3392AB3D3A}"/>
  </bookViews>
  <sheets>
    <sheet name="Goal Seek" sheetId="1" r:id="rId1"/>
    <sheet name="Scenario Analysis" sheetId="2" r:id="rId2"/>
    <sheet name="Data Tables" sheetId="4" r:id="rId3"/>
    <sheet name="Solver" sheetId="6" r:id="rId4"/>
  </sheets>
  <definedNames>
    <definedName name="solver_cvg" localSheetId="3" hidden="1">0.0001</definedName>
    <definedName name="solver_drv" localSheetId="3" hidden="1">2</definedName>
    <definedName name="solver_eng" localSheetId="3" hidden="1">1</definedName>
    <definedName name="solver_est" localSheetId="3" hidden="1">1</definedName>
    <definedName name="solver_itr" localSheetId="3" hidden="1">2147483647</definedName>
    <definedName name="solver_lhs1" localSheetId="3" hidden="1">Solver!$E$16</definedName>
    <definedName name="solver_lhs10" localSheetId="3" hidden="1">Solver!$E$16</definedName>
    <definedName name="solver_lhs2" localSheetId="3" hidden="1">Solver!$E$16</definedName>
    <definedName name="solver_lhs3" localSheetId="3" hidden="1">Solver!$E$16</definedName>
    <definedName name="solver_lhs4" localSheetId="3" hidden="1">Solver!$E$16</definedName>
    <definedName name="solver_lhs5" localSheetId="3" hidden="1">Solver!$E$16</definedName>
    <definedName name="solver_lhs6" localSheetId="3" hidden="1">Solver!$E$16</definedName>
    <definedName name="solver_lhs7" localSheetId="3" hidden="1">Solver!$E$16</definedName>
    <definedName name="solver_lhs8" localSheetId="3" hidden="1">Solver!$E$16</definedName>
    <definedName name="solver_lhs9" localSheetId="3" hidden="1">Solver!$E$16</definedName>
    <definedName name="solver_mip" localSheetId="3" hidden="1">2147483647</definedName>
    <definedName name="solver_mni" localSheetId="3" hidden="1">30</definedName>
    <definedName name="solver_mrt" localSheetId="3" hidden="1">0.075</definedName>
    <definedName name="solver_msl" localSheetId="3" hidden="1">2</definedName>
    <definedName name="solver_neg" localSheetId="3" hidden="1">1</definedName>
    <definedName name="solver_nod" localSheetId="3" hidden="1">2147483647</definedName>
    <definedName name="solver_num" localSheetId="3" hidden="1">0</definedName>
    <definedName name="solver_nwt" localSheetId="3" hidden="1">1</definedName>
    <definedName name="solver_pre" localSheetId="3" hidden="1">0.000001</definedName>
    <definedName name="solver_rbv" localSheetId="3" hidden="1">2</definedName>
    <definedName name="solver_rel1" localSheetId="3" hidden="1">1</definedName>
    <definedName name="solver_rel10" localSheetId="3" hidden="1">1</definedName>
    <definedName name="solver_rel2" localSheetId="3" hidden="1">1</definedName>
    <definedName name="solver_rel3" localSheetId="3" hidden="1">1</definedName>
    <definedName name="solver_rel4" localSheetId="3" hidden="1">1</definedName>
    <definedName name="solver_rel5" localSheetId="3" hidden="1">1</definedName>
    <definedName name="solver_rel6" localSheetId="3" hidden="1">1</definedName>
    <definedName name="solver_rel7" localSheetId="3" hidden="1">1</definedName>
    <definedName name="solver_rel8" localSheetId="3" hidden="1">1</definedName>
    <definedName name="solver_rel9" localSheetId="3" hidden="1">1</definedName>
    <definedName name="solver_rhs1" localSheetId="3" hidden="1">235000</definedName>
    <definedName name="solver_rhs10" localSheetId="3" hidden="1">235000</definedName>
    <definedName name="solver_rhs2" localSheetId="3" hidden="1">235000</definedName>
    <definedName name="solver_rhs3" localSheetId="3" hidden="1">235000</definedName>
    <definedName name="solver_rhs4" localSheetId="3" hidden="1">235000</definedName>
    <definedName name="solver_rhs5" localSheetId="3" hidden="1">235000</definedName>
    <definedName name="solver_rhs6" localSheetId="3" hidden="1">235000</definedName>
    <definedName name="solver_rhs7" localSheetId="3" hidden="1">235000</definedName>
    <definedName name="solver_rhs8" localSheetId="3" hidden="1">235000</definedName>
    <definedName name="solver_rhs9" localSheetId="3" hidden="1">235000</definedName>
    <definedName name="solver_rlx" localSheetId="3" hidden="1">2</definedName>
    <definedName name="solver_rsd" localSheetId="3" hidden="1">0</definedName>
    <definedName name="solver_scl" localSheetId="3" hidden="1">2</definedName>
    <definedName name="solver_sho" localSheetId="3" hidden="1">2</definedName>
    <definedName name="solver_ssz" localSheetId="3" hidden="1">100</definedName>
    <definedName name="solver_tim" localSheetId="3" hidden="1">2147483647</definedName>
    <definedName name="solver_tol" localSheetId="3" hidden="1">0.01</definedName>
    <definedName name="solver_typ" localSheetId="3" hidden="1">1</definedName>
    <definedName name="solver_val" localSheetId="3" hidden="1">0</definedName>
    <definedName name="solver_ver" localSheetId="3"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7" i="6" l="1"/>
  <c r="K47" i="6"/>
  <c r="J47" i="6"/>
  <c r="D47" i="6"/>
  <c r="C47" i="6"/>
  <c r="H27" i="6"/>
  <c r="D26" i="6"/>
  <c r="E28" i="6" s="1"/>
  <c r="D22" i="6"/>
  <c r="E23" i="6" s="1"/>
  <c r="B22" i="6"/>
  <c r="E16" i="6"/>
  <c r="D16" i="6"/>
  <c r="J11" i="6" s="1"/>
  <c r="C16" i="6"/>
  <c r="L47" i="4"/>
  <c r="K47" i="4"/>
  <c r="J47" i="4"/>
  <c r="D47" i="4"/>
  <c r="C47" i="4"/>
  <c r="H27" i="4"/>
  <c r="D26" i="4"/>
  <c r="E28" i="4" s="1"/>
  <c r="D22" i="4"/>
  <c r="E23" i="4" s="1"/>
  <c r="B22" i="4"/>
  <c r="E16" i="4"/>
  <c r="D16" i="4"/>
  <c r="C16" i="4"/>
  <c r="J11" i="4"/>
  <c r="L47" i="2"/>
  <c r="K47" i="2"/>
  <c r="J47" i="2"/>
  <c r="D47" i="2"/>
  <c r="C47" i="2"/>
  <c r="H27" i="2"/>
  <c r="D26" i="2"/>
  <c r="E28" i="2" s="1"/>
  <c r="D22" i="2"/>
  <c r="E23" i="2" s="1"/>
  <c r="B22" i="2"/>
  <c r="E16" i="2"/>
  <c r="D16" i="2"/>
  <c r="J11" i="2" s="1"/>
  <c r="C16" i="2"/>
  <c r="C45" i="6" l="1"/>
  <c r="E32" i="6"/>
  <c r="I46" i="6"/>
  <c r="E46" i="6"/>
  <c r="L46" i="6"/>
  <c r="H46" i="6"/>
  <c r="D46" i="6"/>
  <c r="K46" i="6"/>
  <c r="G46" i="6"/>
  <c r="C46" i="6"/>
  <c r="J46" i="6"/>
  <c r="F46" i="6"/>
  <c r="J12" i="6"/>
  <c r="J13" i="6" s="1"/>
  <c r="I46" i="4"/>
  <c r="E46" i="4"/>
  <c r="L46" i="4"/>
  <c r="H46" i="4"/>
  <c r="D46" i="4"/>
  <c r="J46" i="4"/>
  <c r="F46" i="4"/>
  <c r="K46" i="4"/>
  <c r="G46" i="4"/>
  <c r="C46" i="4"/>
  <c r="C45" i="4"/>
  <c r="E32" i="4"/>
  <c r="J13" i="4"/>
  <c r="J12" i="4"/>
  <c r="C45" i="2"/>
  <c r="E32" i="2"/>
  <c r="J12" i="2"/>
  <c r="J13" i="2"/>
  <c r="I46" i="2"/>
  <c r="E46" i="2"/>
  <c r="L46" i="2"/>
  <c r="H46" i="2"/>
  <c r="D46" i="2"/>
  <c r="K46" i="2"/>
  <c r="G46" i="2"/>
  <c r="C46" i="2"/>
  <c r="B46" i="2" s="1"/>
  <c r="J46" i="2"/>
  <c r="F46" i="2"/>
  <c r="D46" i="1"/>
  <c r="C47" i="1"/>
  <c r="D47" i="1"/>
  <c r="E47" i="1"/>
  <c r="F47" i="1"/>
  <c r="G47" i="1"/>
  <c r="H47" i="1"/>
  <c r="I47" i="1"/>
  <c r="J47" i="1"/>
  <c r="K47" i="1"/>
  <c r="L47" i="1"/>
  <c r="D26" i="1"/>
  <c r="F47" i="6" l="1"/>
  <c r="I47" i="6"/>
  <c r="E47" i="6"/>
  <c r="I24" i="6"/>
  <c r="J26" i="6" s="1"/>
  <c r="K19" i="6"/>
  <c r="I15" i="6"/>
  <c r="H47" i="6"/>
  <c r="G47" i="6"/>
  <c r="B46" i="6"/>
  <c r="B45" i="6"/>
  <c r="B45" i="4"/>
  <c r="B46" i="4"/>
  <c r="F47" i="4"/>
  <c r="I47" i="4"/>
  <c r="E47" i="4"/>
  <c r="B47" i="4" s="1"/>
  <c r="I24" i="4"/>
  <c r="J26" i="4" s="1"/>
  <c r="K19" i="4"/>
  <c r="I15" i="4"/>
  <c r="G47" i="4"/>
  <c r="H47" i="4"/>
  <c r="F47" i="2"/>
  <c r="I47" i="2"/>
  <c r="E47" i="2"/>
  <c r="I24" i="2"/>
  <c r="J26" i="2" s="1"/>
  <c r="K19" i="2"/>
  <c r="I15" i="2"/>
  <c r="H47" i="2"/>
  <c r="G47" i="2"/>
  <c r="B45" i="2"/>
  <c r="E16" i="1"/>
  <c r="D16" i="1"/>
  <c r="J11" i="1" s="1"/>
  <c r="C16" i="1"/>
  <c r="J27" i="6" l="1"/>
  <c r="K28" i="6" s="1"/>
  <c r="K32" i="6" s="1"/>
  <c r="G37" i="6" s="1"/>
  <c r="G38" i="6" s="1"/>
  <c r="B47" i="6"/>
  <c r="J27" i="4"/>
  <c r="K28" i="4"/>
  <c r="B47" i="2"/>
  <c r="J27" i="2"/>
  <c r="K28" i="2"/>
  <c r="J12" i="1"/>
  <c r="K48" i="6" l="1"/>
  <c r="K49" i="6" s="1"/>
  <c r="G48" i="6"/>
  <c r="G49" i="6" s="1"/>
  <c r="C48" i="6"/>
  <c r="L48" i="6"/>
  <c r="L49" i="6" s="1"/>
  <c r="J48" i="6"/>
  <c r="J49" i="6" s="1"/>
  <c r="F48" i="6"/>
  <c r="F49" i="6" s="1"/>
  <c r="I48" i="6"/>
  <c r="I49" i="6" s="1"/>
  <c r="E48" i="6"/>
  <c r="E49" i="6" s="1"/>
  <c r="H48" i="6"/>
  <c r="H49" i="6" s="1"/>
  <c r="D48" i="6"/>
  <c r="D49" i="6" s="1"/>
  <c r="K48" i="4"/>
  <c r="K49" i="4" s="1"/>
  <c r="G48" i="4"/>
  <c r="G49" i="4" s="1"/>
  <c r="C48" i="4"/>
  <c r="J48" i="4"/>
  <c r="J49" i="4" s="1"/>
  <c r="F48" i="4"/>
  <c r="F49" i="4" s="1"/>
  <c r="L48" i="4"/>
  <c r="L49" i="4" s="1"/>
  <c r="H48" i="4"/>
  <c r="H49" i="4" s="1"/>
  <c r="D48" i="4"/>
  <c r="D49" i="4" s="1"/>
  <c r="I48" i="4"/>
  <c r="I49" i="4" s="1"/>
  <c r="E48" i="4"/>
  <c r="E49" i="4" s="1"/>
  <c r="K32" i="4"/>
  <c r="K48" i="2"/>
  <c r="K49" i="2" s="1"/>
  <c r="G48" i="2"/>
  <c r="G49" i="2" s="1"/>
  <c r="C48" i="2"/>
  <c r="H48" i="2"/>
  <c r="H49" i="2" s="1"/>
  <c r="J48" i="2"/>
  <c r="J49" i="2" s="1"/>
  <c r="F48" i="2"/>
  <c r="F49" i="2" s="1"/>
  <c r="I48" i="2"/>
  <c r="I49" i="2" s="1"/>
  <c r="E48" i="2"/>
  <c r="E49" i="2" s="1"/>
  <c r="L48" i="2"/>
  <c r="L49" i="2" s="1"/>
  <c r="D48" i="2"/>
  <c r="D49" i="2" s="1"/>
  <c r="K32" i="2"/>
  <c r="G37" i="2" s="1"/>
  <c r="G38" i="2" s="1"/>
  <c r="J13" i="1"/>
  <c r="H27" i="1"/>
  <c r="D22" i="1"/>
  <c r="E28" i="1"/>
  <c r="G46" i="1" s="1"/>
  <c r="G37" i="4" l="1"/>
  <c r="G38" i="4" s="1"/>
  <c r="B48" i="6"/>
  <c r="B49" i="6" s="1"/>
  <c r="C49" i="6"/>
  <c r="G39" i="6" s="1"/>
  <c r="B48" i="4"/>
  <c r="B49" i="4" s="1"/>
  <c r="C49" i="4"/>
  <c r="G39" i="4" s="1"/>
  <c r="B48" i="2"/>
  <c r="B49" i="2" s="1"/>
  <c r="C49" i="2"/>
  <c r="G39" i="2" s="1"/>
  <c r="K19" i="1"/>
  <c r="J46" i="1"/>
  <c r="F46" i="1"/>
  <c r="I24" i="1"/>
  <c r="J26" i="1" s="1"/>
  <c r="C46" i="1"/>
  <c r="I46" i="1"/>
  <c r="E46" i="1"/>
  <c r="L46" i="1"/>
  <c r="H46" i="1"/>
  <c r="K46" i="1"/>
  <c r="O18" i="4" l="1"/>
  <c r="B46" i="1"/>
  <c r="B47" i="1"/>
  <c r="J27" i="1"/>
  <c r="K28" i="1" s="1"/>
  <c r="K32" i="1" s="1"/>
  <c r="G48" i="1" l="1"/>
  <c r="G49" i="1" s="1"/>
  <c r="K48" i="1"/>
  <c r="K49" i="1" s="1"/>
  <c r="D48" i="1"/>
  <c r="D49" i="1" s="1"/>
  <c r="H48" i="1"/>
  <c r="H49" i="1" s="1"/>
  <c r="L48" i="1"/>
  <c r="L49" i="1" s="1"/>
  <c r="E48" i="1"/>
  <c r="E49" i="1" s="1"/>
  <c r="I48" i="1"/>
  <c r="I49" i="1" s="1"/>
  <c r="C48" i="1"/>
  <c r="F48" i="1"/>
  <c r="F49" i="1" s="1"/>
  <c r="J48" i="1"/>
  <c r="J49" i="1" s="1"/>
  <c r="B48" i="1" l="1"/>
  <c r="E23" i="1" l="1"/>
  <c r="B22" i="1"/>
  <c r="E32" i="1" l="1"/>
  <c r="C45" i="1"/>
  <c r="B45" i="1" s="1"/>
  <c r="I15" i="1" l="1"/>
  <c r="G37" i="1"/>
  <c r="G38" i="1" s="1"/>
  <c r="B49" i="1"/>
  <c r="C49" i="1"/>
  <c r="G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 Morgan</author>
  </authors>
  <commentList>
    <comment ref="D26" authorId="0" shapeId="0" xr:uid="{E12A6EDE-2FA7-4998-BC2F-FCB7D72A8988}">
      <text>
        <r>
          <rPr>
            <b/>
            <sz val="9"/>
            <color indexed="81"/>
            <rFont val="Tahoma"/>
            <family val="2"/>
          </rPr>
          <t>Mark Morgan:</t>
        </r>
        <r>
          <rPr>
            <sz val="9"/>
            <color indexed="81"/>
            <rFont val="Tahoma"/>
            <family val="2"/>
          </rPr>
          <t xml:space="preserve">
</t>
        </r>
        <r>
          <rPr>
            <sz val="11"/>
            <color indexed="81"/>
            <rFont val="Tahoma"/>
            <family val="2"/>
          </rPr>
          <t>• SUMPRODUCT – Get to know this one as it is vital from here on in. It simply multiplies 2 arrays, in this case in D26 we multiply the number of units (C12:C15) by their respective square footage (E12:E15)</t>
        </r>
      </text>
    </comment>
    <comment ref="G39" authorId="0" shapeId="0" xr:uid="{9BC69FC3-DF97-4422-AE8C-A6B817346E12}">
      <text>
        <r>
          <rPr>
            <b/>
            <sz val="11"/>
            <color indexed="81"/>
            <rFont val="Tahoma"/>
            <family val="2"/>
          </rPr>
          <t>Mark Morgan:</t>
        </r>
        <r>
          <rPr>
            <sz val="11"/>
            <color indexed="81"/>
            <rFont val="Tahoma"/>
            <family val="2"/>
          </rPr>
          <t xml:space="preserve">
• IRR – To calculate the Internal Rate of Return over the period.</t>
        </r>
      </text>
    </comment>
    <comment ref="C46" authorId="0" shapeId="0" xr:uid="{1FD84531-E5EA-4D22-A1C2-57AF5DB297BF}">
      <text>
        <r>
          <rPr>
            <b/>
            <sz val="11"/>
            <color indexed="81"/>
            <rFont val="Tahoma"/>
            <family val="2"/>
          </rPr>
          <t>Mark Morgan:</t>
        </r>
        <r>
          <rPr>
            <sz val="11"/>
            <color indexed="81"/>
            <rFont val="Tahoma"/>
            <family val="2"/>
          </rPr>
          <t xml:space="preserve">
• The TRUE function – A more basic form of the IF function. In cell C46 we can see this in action which reads in English as follows; If C43 (Year 1) is less than or equal to C30 (Years to build) then apply the value of E28 (Total build cost) divided by C30. If the criteria is not met this in turn returns the value FALSE which to excel means it is a zero…and as everyone knows you can’t multiply by a zero (unless you are a certain Texas Ranger of course!). Think of TRUE as a (1) and FALSE as a (0).</t>
        </r>
      </text>
    </comment>
    <comment ref="C47" authorId="0" shapeId="0" xr:uid="{13207995-3C74-497F-883E-096F5790E8F1}">
      <text>
        <r>
          <rPr>
            <b/>
            <sz val="11"/>
            <color indexed="81"/>
            <rFont val="Tahoma"/>
            <family val="2"/>
          </rPr>
          <t>Mark Morgan:</t>
        </r>
        <r>
          <rPr>
            <sz val="11"/>
            <color indexed="81"/>
            <rFont val="Tahoma"/>
            <family val="2"/>
          </rPr>
          <t xml:space="preserve">
• IF / AND – Cell C47 reads; If C43 (Year 1) is greater than C30 (Years to build) AND C43 (Year 1) is less than or equal to C30 (Years to build) + I18 (Years held after PC), if the value is true than apply the value of J13 (Net Operating Income per annum), if the value is false then apply a zero value.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Mark Morgan</author>
  </authors>
  <commentList>
    <comment ref="D26" authorId="0" shapeId="0" xr:uid="{757AEC81-F2B3-43D5-ADE8-FE0B9C2A6CE8}">
      <text>
        <r>
          <rPr>
            <b/>
            <sz val="9"/>
            <color indexed="81"/>
            <rFont val="Tahoma"/>
            <family val="2"/>
          </rPr>
          <t>Mark Morgan:</t>
        </r>
        <r>
          <rPr>
            <sz val="9"/>
            <color indexed="81"/>
            <rFont val="Tahoma"/>
            <family val="2"/>
          </rPr>
          <t xml:space="preserve">
</t>
        </r>
        <r>
          <rPr>
            <sz val="11"/>
            <color indexed="81"/>
            <rFont val="Tahoma"/>
            <family val="2"/>
          </rPr>
          <t>• SUMPRODUCT – Get to know this one as it is vital from here on in. It simply multiplies 2 arrays, in this case in D26 we multiply the number of units (C12:C15) by their respective square footage (E12:E15)</t>
        </r>
      </text>
    </comment>
    <comment ref="G39" authorId="0" shapeId="0" xr:uid="{88DCDBA2-23C2-4A10-AD6A-6CD249138CCA}">
      <text>
        <r>
          <rPr>
            <b/>
            <sz val="11"/>
            <color indexed="81"/>
            <rFont val="Tahoma"/>
            <family val="2"/>
          </rPr>
          <t>Mark Morgan:</t>
        </r>
        <r>
          <rPr>
            <sz val="11"/>
            <color indexed="81"/>
            <rFont val="Tahoma"/>
            <family val="2"/>
          </rPr>
          <t xml:space="preserve">
• IRR – To calculate the Internal Rate of Return over the period.</t>
        </r>
      </text>
    </comment>
    <comment ref="C46" authorId="0" shapeId="0" xr:uid="{11BFA344-5461-4418-BDAE-ED440B13E747}">
      <text>
        <r>
          <rPr>
            <b/>
            <sz val="11"/>
            <color indexed="81"/>
            <rFont val="Tahoma"/>
            <family val="2"/>
          </rPr>
          <t>Mark Morgan:</t>
        </r>
        <r>
          <rPr>
            <sz val="11"/>
            <color indexed="81"/>
            <rFont val="Tahoma"/>
            <family val="2"/>
          </rPr>
          <t xml:space="preserve">
• The TRUE function – A more basic form of the IF function. In cell C46 we can see this in action which reads in English as follows; If C43 (Year 1) is less than or equal to C30 (Years to build) then apply the value of E28 (Total build cost) divided by C30. If the criteria is not met this in turn returns the value FALSE which to excel means it is a zero…and as everyone knows you can’t multiply by a zero (unless you are a certain Texas Ranger of course!). Think of TRUE as a (1) and FALSE as a (0).</t>
        </r>
      </text>
    </comment>
    <comment ref="C47" authorId="0" shapeId="0" xr:uid="{4B5DA93C-923E-447E-9C2E-AEB2017BCB06}">
      <text>
        <r>
          <rPr>
            <b/>
            <sz val="11"/>
            <color indexed="81"/>
            <rFont val="Tahoma"/>
            <family val="2"/>
          </rPr>
          <t>Mark Morgan:</t>
        </r>
        <r>
          <rPr>
            <sz val="11"/>
            <color indexed="81"/>
            <rFont val="Tahoma"/>
            <family val="2"/>
          </rPr>
          <t xml:space="preserve">
• IF / AND – Cell C47 reads; If C43 (Year 1) is greater than C30 (Years to build) AND C43 (Year 1) is less than or equal to C30 (Years to build) + I18 (Years held after PC), if the value is true than apply the value of J13 (Net Operating Income per annum), if the value is false then apply a zero value.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Mark Morgan</author>
  </authors>
  <commentList>
    <comment ref="D26" authorId="0" shapeId="0" xr:uid="{3AB9ADC2-08DF-49A3-A82C-03BF0576D159}">
      <text>
        <r>
          <rPr>
            <b/>
            <sz val="9"/>
            <color indexed="81"/>
            <rFont val="Tahoma"/>
            <family val="2"/>
          </rPr>
          <t>Mark Morgan:</t>
        </r>
        <r>
          <rPr>
            <sz val="9"/>
            <color indexed="81"/>
            <rFont val="Tahoma"/>
            <family val="2"/>
          </rPr>
          <t xml:space="preserve">
</t>
        </r>
        <r>
          <rPr>
            <sz val="11"/>
            <color indexed="81"/>
            <rFont val="Tahoma"/>
            <family val="2"/>
          </rPr>
          <t>• SUMPRODUCT – Get to know this one as it is vital from here on in. It simply multiplies 2 arrays, in this case in D26 we multiply the number of units (C12:C15) by their respective square footage (E12:E15)</t>
        </r>
      </text>
    </comment>
    <comment ref="G39" authorId="0" shapeId="0" xr:uid="{B849F719-E99E-4AFD-8B60-BF842FA8FD38}">
      <text>
        <r>
          <rPr>
            <b/>
            <sz val="11"/>
            <color indexed="81"/>
            <rFont val="Tahoma"/>
            <family val="2"/>
          </rPr>
          <t>Mark Morgan:</t>
        </r>
        <r>
          <rPr>
            <sz val="11"/>
            <color indexed="81"/>
            <rFont val="Tahoma"/>
            <family val="2"/>
          </rPr>
          <t xml:space="preserve">
• IRR – To calculate the Internal Rate of Return over the period.</t>
        </r>
      </text>
    </comment>
    <comment ref="C46" authorId="0" shapeId="0" xr:uid="{C94E0596-2868-4EB2-BEDC-4916F365342F}">
      <text>
        <r>
          <rPr>
            <b/>
            <sz val="11"/>
            <color indexed="81"/>
            <rFont val="Tahoma"/>
            <family val="2"/>
          </rPr>
          <t>Mark Morgan:</t>
        </r>
        <r>
          <rPr>
            <sz val="11"/>
            <color indexed="81"/>
            <rFont val="Tahoma"/>
            <family val="2"/>
          </rPr>
          <t xml:space="preserve">
• The TRUE function – A more basic form of the IF function. In cell C46 we can see this in action which reads in English as follows; If C43 (Year 1) is less than or equal to C30 (Years to build) then apply the value of E28 (Total build cost) divided by C30. If the criteria is not met this in turn returns the value FALSE which to excel means it is a zero…and as everyone knows you can’t multiply by a zero (unless you are a certain Texas Ranger of course!). Think of TRUE as a (1) and FALSE as a (0).</t>
        </r>
      </text>
    </comment>
    <comment ref="C47" authorId="0" shapeId="0" xr:uid="{A3C5708E-CAF9-47E1-8B0F-B97D14167D1B}">
      <text>
        <r>
          <rPr>
            <b/>
            <sz val="11"/>
            <color indexed="81"/>
            <rFont val="Tahoma"/>
            <family val="2"/>
          </rPr>
          <t>Mark Morgan:</t>
        </r>
        <r>
          <rPr>
            <sz val="11"/>
            <color indexed="81"/>
            <rFont val="Tahoma"/>
            <family val="2"/>
          </rPr>
          <t xml:space="preserve">
• IF / AND – Cell C47 reads; If C43 (Year 1) is greater than C30 (Years to build) AND C43 (Year 1) is less than or equal to C30 (Years to build) + I18 (Years held after PC), if the value is true than apply the value of J13 (Net Operating Income per annum), if the value is false then apply a zero value.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Mark Morgan</author>
  </authors>
  <commentList>
    <comment ref="D26" authorId="0" shapeId="0" xr:uid="{96C6D2BF-4425-430A-A3BB-8193C84AAED4}">
      <text>
        <r>
          <rPr>
            <b/>
            <sz val="9"/>
            <color indexed="81"/>
            <rFont val="Tahoma"/>
            <family val="2"/>
          </rPr>
          <t>Mark Morgan:</t>
        </r>
        <r>
          <rPr>
            <sz val="9"/>
            <color indexed="81"/>
            <rFont val="Tahoma"/>
            <family val="2"/>
          </rPr>
          <t xml:space="preserve">
</t>
        </r>
        <r>
          <rPr>
            <sz val="11"/>
            <color indexed="81"/>
            <rFont val="Tahoma"/>
            <family val="2"/>
          </rPr>
          <t>• SUMPRODUCT – Get to know this one as it is vital from here on in. It simply multiplies 2 arrays, in this case in D26 we multiply the number of units (C12:C15) by their respective square footage (E12:E15)</t>
        </r>
      </text>
    </comment>
    <comment ref="G39" authorId="0" shapeId="0" xr:uid="{A560AD80-A562-496B-9A4B-05488CE7F074}">
      <text>
        <r>
          <rPr>
            <b/>
            <sz val="11"/>
            <color indexed="81"/>
            <rFont val="Tahoma"/>
            <family val="2"/>
          </rPr>
          <t>Mark Morgan:</t>
        </r>
        <r>
          <rPr>
            <sz val="11"/>
            <color indexed="81"/>
            <rFont val="Tahoma"/>
            <family val="2"/>
          </rPr>
          <t xml:space="preserve">
• IRR – To calculate the Internal Rate of Return over the period.</t>
        </r>
      </text>
    </comment>
    <comment ref="C46" authorId="0" shapeId="0" xr:uid="{B87317D9-3F31-434E-BB36-B9E26A7E1384}">
      <text>
        <r>
          <rPr>
            <b/>
            <sz val="11"/>
            <color indexed="81"/>
            <rFont val="Tahoma"/>
            <family val="2"/>
          </rPr>
          <t>Mark Morgan:</t>
        </r>
        <r>
          <rPr>
            <sz val="11"/>
            <color indexed="81"/>
            <rFont val="Tahoma"/>
            <family val="2"/>
          </rPr>
          <t xml:space="preserve">
• The TRUE function – A more basic form of the IF function. In cell C46 we can see this in action which reads in English as follows; If C43 (Year 1) is less than or equal to C30 (Years to build) then apply the value of E28 (Total build cost) divided by C30. If the criteria is not met this in turn returns the value FALSE which to excel means it is a zero…and as everyone knows you can’t multiply by a zero (unless you are a certain Texas Ranger of course!). Think of TRUE as a (1) and FALSE as a (0).</t>
        </r>
      </text>
    </comment>
    <comment ref="C47" authorId="0" shapeId="0" xr:uid="{EBAE3D00-89FE-4833-8E7A-B00F0A6A1D73}">
      <text>
        <r>
          <rPr>
            <b/>
            <sz val="11"/>
            <color indexed="81"/>
            <rFont val="Tahoma"/>
            <family val="2"/>
          </rPr>
          <t>Mark Morgan:</t>
        </r>
        <r>
          <rPr>
            <sz val="11"/>
            <color indexed="81"/>
            <rFont val="Tahoma"/>
            <family val="2"/>
          </rPr>
          <t xml:space="preserve">
• IF / AND – Cell C47 reads; If C43 (Year 1) is greater than C30 (Years to build) AND C43 (Year 1) is less than or equal to C30 (Years to build) + I18 (Years held after PC), if the value is true than apply the value of J13 (Net Operating Income per annum), if the value is false then apply a zero value.</t>
        </r>
      </text>
    </comment>
  </commentList>
</comments>
</file>

<file path=xl/sharedStrings.xml><?xml version="1.0" encoding="utf-8"?>
<sst xmlns="http://schemas.openxmlformats.org/spreadsheetml/2006/main" count="236" uniqueCount="80">
  <si>
    <t>Purchase Price</t>
  </si>
  <si>
    <t>Purchase Costs</t>
  </si>
  <si>
    <t>Costs</t>
  </si>
  <si>
    <t>Accomodation Schedule</t>
  </si>
  <si>
    <t># units</t>
  </si>
  <si>
    <t>Apartment Type</t>
  </si>
  <si>
    <t>Rent p/m</t>
  </si>
  <si>
    <t>Studio</t>
  </si>
  <si>
    <t>1 Bed Apart.</t>
  </si>
  <si>
    <t>3 Bed Apart.</t>
  </si>
  <si>
    <t>2 Bed Apart.</t>
  </si>
  <si>
    <t>Sqft</t>
  </si>
  <si>
    <t>Appraisal</t>
  </si>
  <si>
    <t>Build Costs</t>
  </si>
  <si>
    <t>Square foot</t>
  </si>
  <si>
    <t>Build cost psf</t>
  </si>
  <si>
    <t>Total Purchase Cost</t>
  </si>
  <si>
    <t>Total Build Cost</t>
  </si>
  <si>
    <t>Cash flow</t>
  </si>
  <si>
    <t>Year</t>
  </si>
  <si>
    <t>Purchase</t>
  </si>
  <si>
    <t>Build program</t>
  </si>
  <si>
    <t>years</t>
  </si>
  <si>
    <t>Rental Income p/a</t>
  </si>
  <si>
    <t>Management Cost</t>
  </si>
  <si>
    <t>NOI p/a</t>
  </si>
  <si>
    <t>Yield on Cost</t>
  </si>
  <si>
    <t>Years held after PC</t>
  </si>
  <si>
    <t>Operational Income</t>
  </si>
  <si>
    <t>Total Income from Operations</t>
  </si>
  <si>
    <t>Net Yield to Dispose</t>
  </si>
  <si>
    <t>Sale price</t>
  </si>
  <si>
    <t>Net Sale</t>
  </si>
  <si>
    <t>Profit/Loss</t>
  </si>
  <si>
    <t>Disposal/Sale</t>
  </si>
  <si>
    <t>Results</t>
  </si>
  <si>
    <t>Profit on Cost</t>
  </si>
  <si>
    <t>Build Cost</t>
  </si>
  <si>
    <t>Rental Income</t>
  </si>
  <si>
    <t>Sale</t>
  </si>
  <si>
    <t>Total</t>
  </si>
  <si>
    <t>Unlevered IRR</t>
  </si>
  <si>
    <t>Total Project Cost</t>
  </si>
  <si>
    <t>Total Project Income</t>
  </si>
  <si>
    <r>
      <rPr>
        <b/>
        <u/>
        <sz val="11"/>
        <color theme="1"/>
        <rFont val="Calibri"/>
        <family val="2"/>
        <scheme val="minor"/>
      </rPr>
      <t>Set cell</t>
    </r>
    <r>
      <rPr>
        <sz val="11"/>
        <color theme="1"/>
        <rFont val="Calibri"/>
        <family val="2"/>
        <scheme val="minor"/>
      </rPr>
      <t xml:space="preserve"> G39 </t>
    </r>
    <r>
      <rPr>
        <b/>
        <u/>
        <sz val="11"/>
        <color theme="1"/>
        <rFont val="Calibri"/>
        <family val="2"/>
        <scheme val="minor"/>
      </rPr>
      <t>to value</t>
    </r>
    <r>
      <rPr>
        <sz val="11"/>
        <color theme="1"/>
        <rFont val="Calibri"/>
        <family val="2"/>
        <scheme val="minor"/>
      </rPr>
      <t xml:space="preserve"> of 0.12 </t>
    </r>
    <r>
      <rPr>
        <b/>
        <u/>
        <sz val="11"/>
        <color theme="1"/>
        <rFont val="Calibri"/>
        <family val="2"/>
        <scheme val="minor"/>
      </rPr>
      <t>by changing cell</t>
    </r>
    <r>
      <rPr>
        <sz val="11"/>
        <color theme="1"/>
        <rFont val="Calibri"/>
        <family val="2"/>
        <scheme val="minor"/>
      </rPr>
      <t xml:space="preserve"> D21</t>
    </r>
  </si>
  <si>
    <t>This commands excel to tell us what purchase price we need to pay in order to get a 12% IRR, given that all other variables/inputs remain the same.</t>
  </si>
  <si>
    <r>
      <t xml:space="preserve">Select the </t>
    </r>
    <r>
      <rPr>
        <b/>
        <u/>
        <sz val="11"/>
        <color theme="1"/>
        <rFont val="Calibri"/>
        <family val="2"/>
        <scheme val="minor"/>
      </rPr>
      <t>Data</t>
    </r>
    <r>
      <rPr>
        <sz val="11"/>
        <color theme="1"/>
        <rFont val="Calibri"/>
        <family val="2"/>
        <scheme val="minor"/>
      </rPr>
      <t xml:space="preserve"> tab, then click the </t>
    </r>
    <r>
      <rPr>
        <b/>
        <u/>
        <sz val="11"/>
        <color theme="1"/>
        <rFont val="Calibri"/>
        <family val="2"/>
        <scheme val="minor"/>
      </rPr>
      <t>'What-If-Analysis'</t>
    </r>
    <r>
      <rPr>
        <sz val="11"/>
        <color theme="1"/>
        <rFont val="Calibri"/>
        <family val="2"/>
        <scheme val="minor"/>
      </rPr>
      <t xml:space="preserve"> followed by </t>
    </r>
    <r>
      <rPr>
        <b/>
        <u/>
        <sz val="11"/>
        <color theme="1"/>
        <rFont val="Calibri"/>
        <family val="2"/>
        <scheme val="minor"/>
      </rPr>
      <t>'Scenario Manager'</t>
    </r>
    <r>
      <rPr>
        <sz val="11"/>
        <color theme="1"/>
        <rFont val="Calibri"/>
        <family val="2"/>
        <scheme val="minor"/>
      </rPr>
      <t>.</t>
    </r>
  </si>
  <si>
    <r>
      <t>Select the '</t>
    </r>
    <r>
      <rPr>
        <b/>
        <u/>
        <sz val="11"/>
        <color theme="1"/>
        <rFont val="Calibri"/>
        <family val="2"/>
        <scheme val="minor"/>
      </rPr>
      <t>Data'</t>
    </r>
    <r>
      <rPr>
        <sz val="11"/>
        <color theme="1"/>
        <rFont val="Calibri"/>
        <family val="2"/>
        <scheme val="minor"/>
      </rPr>
      <t xml:space="preserve"> tab, then click the </t>
    </r>
    <r>
      <rPr>
        <b/>
        <u/>
        <sz val="11"/>
        <color theme="1"/>
        <rFont val="Calibri"/>
        <family val="2"/>
        <scheme val="minor"/>
      </rPr>
      <t>'What-If-Analysis'</t>
    </r>
    <r>
      <rPr>
        <sz val="11"/>
        <color theme="1"/>
        <rFont val="Calibri"/>
        <family val="2"/>
        <scheme val="minor"/>
      </rPr>
      <t xml:space="preserve"> followed by </t>
    </r>
    <r>
      <rPr>
        <b/>
        <u/>
        <sz val="11"/>
        <color theme="1"/>
        <rFont val="Calibri"/>
        <family val="2"/>
        <scheme val="minor"/>
      </rPr>
      <t>'Goal Seek'</t>
    </r>
    <r>
      <rPr>
        <sz val="11"/>
        <color theme="1"/>
        <rFont val="Calibri"/>
        <family val="2"/>
        <scheme val="minor"/>
      </rPr>
      <t>.</t>
    </r>
  </si>
  <si>
    <r>
      <t xml:space="preserve">Select </t>
    </r>
    <r>
      <rPr>
        <b/>
        <u/>
        <sz val="11"/>
        <color theme="1"/>
        <rFont val="Calibri"/>
        <family val="2"/>
        <scheme val="minor"/>
      </rPr>
      <t>'Add…'</t>
    </r>
    <r>
      <rPr>
        <sz val="11"/>
        <color theme="1"/>
        <rFont val="Calibri"/>
        <family val="2"/>
        <scheme val="minor"/>
      </rPr>
      <t xml:space="preserve">, under </t>
    </r>
    <r>
      <rPr>
        <b/>
        <u/>
        <sz val="11"/>
        <color theme="1"/>
        <rFont val="Calibri"/>
        <family val="2"/>
        <scheme val="minor"/>
      </rPr>
      <t>'Scenario Name'</t>
    </r>
    <r>
      <rPr>
        <sz val="11"/>
        <color theme="1"/>
        <rFont val="Calibri"/>
        <family val="2"/>
        <scheme val="minor"/>
      </rPr>
      <t xml:space="preserve"> call it 'Best Case'. Delete the current contents of 'Changing cells' and then while holding down Ctrl, select cells D21, D27 and I25. Set cell D21 to 22500000, cell D27 to 250 and I25 to 0.05, hit '</t>
    </r>
    <r>
      <rPr>
        <b/>
        <u/>
        <sz val="11"/>
        <color theme="1"/>
        <rFont val="Calibri"/>
        <family val="2"/>
        <scheme val="minor"/>
      </rPr>
      <t>OK'</t>
    </r>
    <r>
      <rPr>
        <sz val="11"/>
        <color theme="1"/>
        <rFont val="Calibri"/>
        <family val="2"/>
        <scheme val="minor"/>
      </rPr>
      <t xml:space="preserve">. We can see under our scenario list now we have a scenario called 'Best Case', if we click </t>
    </r>
    <r>
      <rPr>
        <b/>
        <u/>
        <sz val="11"/>
        <color theme="1"/>
        <rFont val="Calibri"/>
        <family val="2"/>
        <scheme val="minor"/>
      </rPr>
      <t>'Show'</t>
    </r>
    <r>
      <rPr>
        <sz val="11"/>
        <color theme="1"/>
        <rFont val="Calibri"/>
        <family val="2"/>
        <scheme val="minor"/>
      </rPr>
      <t xml:space="preserve"> excel will automatically update the purchase price to 22,500,000, the build costs to 250 psf and the exit yield to 5.00%.</t>
    </r>
  </si>
  <si>
    <t>Now follow the above instructions once more except this time call the scenario 'Worst Case'. Select the same cells and set cell D21 to 27500000, cell D27 to 300 and cell I25 to 0.06.</t>
  </si>
  <si>
    <t>Now you will have 2 scenarios you can select from that will allow you to easily flick between both without having to save a separate spreadsheet or manually change each input.</t>
  </si>
  <si>
    <t>Build Cost psf</t>
  </si>
  <si>
    <t>To lay the groundwork for out data tables first thing we will need to do is sort out it's layout first. In the example below I am looking to identify what effects changes in Build Cost and Disposal Yield have on the IRR of this project.</t>
  </si>
  <si>
    <t>Cell O15 needs to be linked directly to cell G37, which is our IRR result. In row 15 we have entered the variance of our disposal yields while in column O we have input our build costs.</t>
  </si>
  <si>
    <r>
      <t xml:space="preserve">Highlight cells </t>
    </r>
    <r>
      <rPr>
        <b/>
        <sz val="11"/>
        <color theme="1"/>
        <rFont val="Calibri"/>
        <family val="2"/>
        <scheme val="minor"/>
      </rPr>
      <t>O15:D20</t>
    </r>
    <r>
      <rPr>
        <sz val="11"/>
        <color theme="1"/>
        <rFont val="Calibri"/>
        <family val="2"/>
        <scheme val="minor"/>
      </rPr>
      <t xml:space="preserve"> and then select the </t>
    </r>
    <r>
      <rPr>
        <b/>
        <u/>
        <sz val="11"/>
        <color theme="1"/>
        <rFont val="Calibri"/>
        <family val="2"/>
        <scheme val="minor"/>
      </rPr>
      <t>Data</t>
    </r>
    <r>
      <rPr>
        <sz val="11"/>
        <color theme="1"/>
        <rFont val="Calibri"/>
        <family val="2"/>
        <scheme val="minor"/>
      </rPr>
      <t xml:space="preserve"> tab, then click the </t>
    </r>
    <r>
      <rPr>
        <b/>
        <u/>
        <sz val="11"/>
        <color theme="1"/>
        <rFont val="Calibri"/>
        <family val="2"/>
        <scheme val="minor"/>
      </rPr>
      <t>'What-If-Analysis'</t>
    </r>
    <r>
      <rPr>
        <sz val="11"/>
        <color theme="1"/>
        <rFont val="Calibri"/>
        <family val="2"/>
        <scheme val="minor"/>
      </rPr>
      <t xml:space="preserve"> followed by </t>
    </r>
    <r>
      <rPr>
        <b/>
        <sz val="11"/>
        <color theme="1"/>
        <rFont val="Calibri"/>
        <family val="2"/>
        <scheme val="minor"/>
      </rPr>
      <t>'</t>
    </r>
    <r>
      <rPr>
        <b/>
        <u/>
        <sz val="11"/>
        <color theme="1"/>
        <rFont val="Calibri"/>
        <family val="2"/>
        <scheme val="minor"/>
      </rPr>
      <t>Data Table</t>
    </r>
    <r>
      <rPr>
        <b/>
        <sz val="11"/>
        <color theme="1"/>
        <rFont val="Calibri"/>
        <family val="2"/>
        <scheme val="minor"/>
      </rPr>
      <t>'</t>
    </r>
    <r>
      <rPr>
        <sz val="11"/>
        <color theme="1"/>
        <rFont val="Calibri"/>
        <family val="2"/>
        <scheme val="minor"/>
      </rPr>
      <t>. For '</t>
    </r>
    <r>
      <rPr>
        <b/>
        <sz val="11"/>
        <color theme="1"/>
        <rFont val="Calibri"/>
        <family val="2"/>
        <scheme val="minor"/>
      </rPr>
      <t>Row input cell</t>
    </r>
    <r>
      <rPr>
        <sz val="11"/>
        <color theme="1"/>
        <rFont val="Calibri"/>
        <family val="2"/>
        <scheme val="minor"/>
      </rPr>
      <t>' select cell I25 and for '</t>
    </r>
    <r>
      <rPr>
        <b/>
        <sz val="11"/>
        <color theme="1"/>
        <rFont val="Calibri"/>
        <family val="2"/>
        <scheme val="minor"/>
      </rPr>
      <t>Column input cell</t>
    </r>
    <r>
      <rPr>
        <sz val="11"/>
        <color theme="1"/>
        <rFont val="Calibri"/>
        <family val="2"/>
        <scheme val="minor"/>
      </rPr>
      <t>' cell D27, hit 'OK'.</t>
    </r>
  </si>
  <si>
    <t>Job finished! All those percentages that just sprang out of nowhere, they are the results of each sensitivity on the inputs we have provided e.g. at a 5.25% yield and a 275 psf build cost, we would see an IRR of 11.52% for the project.</t>
  </si>
  <si>
    <t>Load Solver Add-in</t>
  </si>
  <si>
    <t>1. In Excel 2010 and later, go to File &gt; Options</t>
  </si>
  <si>
    <t>2. Click Add-Ins, and then in the Manage box, select Excel Add-ins</t>
  </si>
  <si>
    <t>3. Click Go</t>
  </si>
  <si>
    <t>4. In the Add-Ins available box, select the Solver Add-in check box, and then click OK</t>
  </si>
  <si>
    <t>5. After you load the Solver Add-in, the Solver command is available in the Analysis group on the Data tab.</t>
  </si>
  <si>
    <r>
      <t>Lets change things up a little bit and use this tool to focus on the accomodation schedule. Head to the '</t>
    </r>
    <r>
      <rPr>
        <b/>
        <u/>
        <sz val="11"/>
        <color theme="1"/>
        <rFont val="Calibri"/>
        <family val="2"/>
        <scheme val="minor"/>
      </rPr>
      <t>Data</t>
    </r>
    <r>
      <rPr>
        <sz val="11"/>
        <color theme="1"/>
        <rFont val="Calibri"/>
        <family val="2"/>
        <scheme val="minor"/>
      </rPr>
      <t>' tab and select '</t>
    </r>
    <r>
      <rPr>
        <b/>
        <u/>
        <sz val="11"/>
        <color theme="1"/>
        <rFont val="Calibri"/>
        <family val="2"/>
        <scheme val="minor"/>
      </rPr>
      <t>Solver</t>
    </r>
    <r>
      <rPr>
        <sz val="11"/>
        <color theme="1"/>
        <rFont val="Calibri"/>
        <family val="2"/>
        <scheme val="minor"/>
      </rPr>
      <t>' from the far right side of the ribbon.</t>
    </r>
  </si>
  <si>
    <r>
      <rPr>
        <b/>
        <u/>
        <sz val="11"/>
        <color theme="1"/>
        <rFont val="Calibri"/>
        <family val="2"/>
        <scheme val="minor"/>
      </rPr>
      <t>Set Objective</t>
    </r>
    <r>
      <rPr>
        <sz val="11"/>
        <color theme="1"/>
        <rFont val="Calibri"/>
        <family val="2"/>
        <scheme val="minor"/>
      </rPr>
      <t>' to G39 and in the '</t>
    </r>
    <r>
      <rPr>
        <b/>
        <u/>
        <sz val="11"/>
        <color theme="1"/>
        <rFont val="Calibri"/>
        <family val="2"/>
        <scheme val="minor"/>
      </rPr>
      <t>To</t>
    </r>
    <r>
      <rPr>
        <sz val="11"/>
        <color theme="1"/>
        <rFont val="Calibri"/>
        <family val="2"/>
        <scheme val="minor"/>
      </rPr>
      <t>' section select '</t>
    </r>
    <r>
      <rPr>
        <b/>
        <u/>
        <sz val="11"/>
        <color theme="1"/>
        <rFont val="Calibri"/>
        <family val="2"/>
        <scheme val="minor"/>
      </rPr>
      <t>Max'</t>
    </r>
    <r>
      <rPr>
        <sz val="11"/>
        <color theme="1"/>
        <rFont val="Calibri"/>
        <family val="2"/>
        <scheme val="minor"/>
      </rPr>
      <t xml:space="preserve"> ( we are going to try and max out our IRR by altering our accomodation schedule). In the '</t>
    </r>
    <r>
      <rPr>
        <b/>
        <u/>
        <sz val="11"/>
        <color theme="1"/>
        <rFont val="Calibri"/>
        <family val="2"/>
        <scheme val="minor"/>
      </rPr>
      <t>By Changing Variable Cells</t>
    </r>
    <r>
      <rPr>
        <sz val="11"/>
        <color theme="1"/>
        <rFont val="Calibri"/>
        <family val="2"/>
        <scheme val="minor"/>
      </rPr>
      <t>' input cells C12:C15.</t>
    </r>
  </si>
  <si>
    <t>Now set the following constraints;</t>
  </si>
  <si>
    <t>C12 &gt;= 25</t>
  </si>
  <si>
    <t>C13 &gt;= 25</t>
  </si>
  <si>
    <t>C14 &gt;= 25</t>
  </si>
  <si>
    <t>C15 &gt;= 25</t>
  </si>
  <si>
    <t>C16 &lt;= 370</t>
  </si>
  <si>
    <t>E16 &lt;= 235000</t>
  </si>
  <si>
    <t>What the above is saying is that we want to get the maximum IRR result by changing #units by sticking to the paramters of having a minimum number of 25 units for each type, but also sticking to a max square footage of 235,000 sqft and a maximum total number of units of 370. If you attempt to solve this now, you will end up getting decimal places in your unit schedule so to correct this we need to further add the following constraints;</t>
  </si>
  <si>
    <t>C12 = integer</t>
  </si>
  <si>
    <t>C13 = integer</t>
  </si>
  <si>
    <t>C14 = integer</t>
  </si>
  <si>
    <t>C15 = integer</t>
  </si>
  <si>
    <r>
      <t>To do this, add another constraint, select the cell, then hit the drop down menu (where the &gt;= / &lt;= is) and select the '</t>
    </r>
    <r>
      <rPr>
        <b/>
        <u/>
        <sz val="11"/>
        <color theme="1"/>
        <rFont val="Calibri"/>
        <family val="2"/>
        <scheme val="minor"/>
      </rPr>
      <t>Int</t>
    </r>
    <r>
      <rPr>
        <sz val="11"/>
        <color theme="1"/>
        <rFont val="Calibri"/>
        <family val="2"/>
        <scheme val="minor"/>
      </rPr>
      <t>' function. What this will do is make our units whole numbers.</t>
    </r>
  </si>
  <si>
    <t>Result</t>
  </si>
  <si>
    <t>IRR = 10.85%</t>
  </si>
  <si>
    <t>Result = Purchase Price of 20,474,492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</si>
</sst>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Red]\-#,##0\ "/>
  </numFmts>
  <fonts count="22"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1"/>
      <color rgb="FF0070C0"/>
      <name val="Calibri"/>
      <family val="2"/>
      <scheme val="minor"/>
    </font>
    <font>
      <b/>
      <sz val="11"/>
      <color rgb="FFFF0000"/>
      <name val="Calibri"/>
      <family val="2"/>
      <scheme val="minor"/>
    </font>
    <font>
      <sz val="11"/>
      <color theme="4"/>
      <name val="Calibri"/>
      <family val="2"/>
      <scheme val="minor"/>
    </font>
    <font>
      <b/>
      <sz val="14"/>
      <color theme="0"/>
      <name val="Calibri"/>
      <family val="2"/>
      <scheme val="minor"/>
    </font>
    <font>
      <sz val="11"/>
      <name val="Calibri"/>
      <family val="2"/>
      <scheme val="minor"/>
    </font>
    <font>
      <b/>
      <i/>
      <sz val="14"/>
      <color rgb="FFFF0000"/>
      <name val="Calibri"/>
      <family val="2"/>
      <scheme val="minor"/>
    </font>
    <font>
      <b/>
      <sz val="11"/>
      <name val="Calibri"/>
      <family val="2"/>
      <scheme val="minor"/>
    </font>
    <font>
      <sz val="9"/>
      <color indexed="81"/>
      <name val="Tahoma"/>
      <family val="2"/>
    </font>
    <font>
      <b/>
      <sz val="9"/>
      <color indexed="81"/>
      <name val="Tahoma"/>
      <family val="2"/>
    </font>
    <font>
      <sz val="11"/>
      <color indexed="81"/>
      <name val="Tahoma"/>
      <family val="2"/>
    </font>
    <font>
      <b/>
      <sz val="11"/>
      <color indexed="81"/>
      <name val="Tahoma"/>
      <family val="2"/>
    </font>
    <font>
      <b/>
      <u/>
      <sz val="11"/>
      <color theme="1"/>
      <name val="Calibri"/>
      <family val="2"/>
      <scheme val="minor"/>
    </font>
    <font>
      <sz val="8"/>
      <name val="Calibri"/>
      <family val="2"/>
      <scheme val="minor"/>
    </font>
    <font>
      <b/>
      <i/>
      <sz val="11"/>
      <color theme="1"/>
      <name val="Calibri"/>
      <family val="2"/>
      <scheme val="minor"/>
    </font>
    <font>
      <i/>
      <sz val="11"/>
      <color theme="1"/>
      <name val="Calibri"/>
      <family val="2"/>
      <scheme val="minor"/>
    </font>
    <font>
      <b/>
      <i/>
      <sz val="11"/>
      <name val="Calibri"/>
      <family val="2"/>
      <scheme val="minor"/>
    </font>
    <font>
      <i/>
      <sz val="11"/>
      <name val="Calibri"/>
      <family val="2"/>
      <scheme val="minor"/>
    </font>
    <font>
      <b/>
      <i/>
      <u/>
      <sz val="11"/>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4" tint="-0.249977111117893"/>
        <bgColor indexed="64"/>
      </patternFill>
    </fill>
    <fill>
      <patternFill patternType="solid">
        <fgColor theme="6"/>
        <bgColor indexed="64"/>
      </patternFill>
    </fill>
    <fill>
      <patternFill patternType="solid">
        <fgColor theme="2"/>
        <bgColor indexed="64"/>
      </patternFill>
    </fill>
    <fill>
      <patternFill patternType="solid">
        <fgColor rgb="FFFFFF00"/>
        <bgColor indexed="64"/>
      </patternFill>
    </fill>
  </fills>
  <borders count="15">
    <border>
      <left/>
      <right/>
      <top/>
      <bottom/>
      <diagonal/>
    </border>
    <border>
      <left/>
      <right/>
      <top/>
      <bottom style="double">
        <color indexed="64"/>
      </bottom>
      <diagonal/>
    </border>
    <border>
      <left/>
      <right style="thin">
        <color indexed="64"/>
      </right>
      <top/>
      <bottom/>
      <diagonal/>
    </border>
    <border>
      <left/>
      <right style="thin">
        <color indexed="64"/>
      </right>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right style="thin">
        <color indexed="64"/>
      </right>
      <top style="double">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s>
  <cellStyleXfs count="2">
    <xf numFmtId="0" fontId="0" fillId="0" borderId="0"/>
    <xf numFmtId="9" fontId="1" fillId="0" borderId="0" applyFont="0" applyFill="0" applyBorder="0" applyAlignment="0" applyProtection="0"/>
  </cellStyleXfs>
  <cellXfs count="90">
    <xf numFmtId="0" fontId="0" fillId="0" borderId="0" xfId="0"/>
    <xf numFmtId="164" fontId="0" fillId="0" borderId="0" xfId="0" applyNumberFormat="1"/>
    <xf numFmtId="164" fontId="0" fillId="2" borderId="0" xfId="0" applyNumberFormat="1" applyFill="1"/>
    <xf numFmtId="164" fontId="4" fillId="2" borderId="0" xfId="0" applyNumberFormat="1" applyFont="1" applyFill="1"/>
    <xf numFmtId="164" fontId="0" fillId="2" borderId="0" xfId="0" applyNumberFormat="1" applyFill="1" applyBorder="1"/>
    <xf numFmtId="164" fontId="4" fillId="2" borderId="0" xfId="0" applyNumberFormat="1" applyFont="1" applyFill="1" applyBorder="1"/>
    <xf numFmtId="164" fontId="0" fillId="2" borderId="1" xfId="0" applyNumberFormat="1" applyFill="1" applyBorder="1"/>
    <xf numFmtId="164" fontId="5" fillId="2" borderId="0" xfId="0" applyNumberFormat="1" applyFont="1" applyFill="1" applyBorder="1"/>
    <xf numFmtId="164" fontId="3" fillId="3" borderId="1" xfId="0" applyNumberFormat="1" applyFont="1" applyFill="1" applyBorder="1"/>
    <xf numFmtId="164" fontId="7" fillId="3" borderId="1" xfId="0" applyNumberFormat="1" applyFont="1" applyFill="1" applyBorder="1"/>
    <xf numFmtId="164" fontId="3" fillId="3" borderId="3" xfId="0" applyNumberFormat="1" applyFont="1" applyFill="1" applyBorder="1"/>
    <xf numFmtId="164" fontId="2" fillId="4" borderId="0" xfId="0" applyNumberFormat="1" applyFont="1" applyFill="1"/>
    <xf numFmtId="164" fontId="2" fillId="4" borderId="2" xfId="0" applyNumberFormat="1" applyFont="1" applyFill="1" applyBorder="1"/>
    <xf numFmtId="164" fontId="2" fillId="4" borderId="4" xfId="0" applyNumberFormat="1" applyFont="1" applyFill="1" applyBorder="1"/>
    <xf numFmtId="164" fontId="2" fillId="4" borderId="5" xfId="0" applyNumberFormat="1" applyFont="1" applyFill="1" applyBorder="1"/>
    <xf numFmtId="164" fontId="2" fillId="4" borderId="6" xfId="0" applyNumberFormat="1" applyFont="1" applyFill="1" applyBorder="1"/>
    <xf numFmtId="164" fontId="0" fillId="2" borderId="2" xfId="0" applyNumberFormat="1" applyFill="1" applyBorder="1"/>
    <xf numFmtId="164" fontId="9" fillId="2" borderId="0" xfId="0" applyNumberFormat="1" applyFont="1" applyFill="1"/>
    <xf numFmtId="164" fontId="2" fillId="2" borderId="0" xfId="0" applyNumberFormat="1" applyFont="1" applyFill="1"/>
    <xf numFmtId="164" fontId="2" fillId="2" borderId="0" xfId="0" applyNumberFormat="1" applyFont="1" applyFill="1" applyAlignment="1">
      <alignment horizontal="right"/>
    </xf>
    <xf numFmtId="164" fontId="2" fillId="2" borderId="2" xfId="0" applyNumberFormat="1" applyFont="1" applyFill="1" applyBorder="1" applyAlignment="1">
      <alignment horizontal="right"/>
    </xf>
    <xf numFmtId="164" fontId="6" fillId="2" borderId="2" xfId="0" applyNumberFormat="1" applyFont="1" applyFill="1" applyBorder="1"/>
    <xf numFmtId="10" fontId="4" fillId="2" borderId="0" xfId="1" applyNumberFormat="1" applyFont="1" applyFill="1"/>
    <xf numFmtId="164" fontId="8" fillId="2" borderId="1" xfId="0" applyNumberFormat="1" applyFont="1" applyFill="1" applyBorder="1"/>
    <xf numFmtId="164" fontId="8" fillId="2" borderId="0" xfId="0" applyNumberFormat="1" applyFont="1" applyFill="1"/>
    <xf numFmtId="164" fontId="4" fillId="2" borderId="1" xfId="0" applyNumberFormat="1" applyFont="1" applyFill="1" applyBorder="1"/>
    <xf numFmtId="164" fontId="2" fillId="2" borderId="1" xfId="0" applyNumberFormat="1" applyFont="1" applyFill="1" applyBorder="1"/>
    <xf numFmtId="10" fontId="0" fillId="2" borderId="0" xfId="1" applyNumberFormat="1" applyFont="1" applyFill="1"/>
    <xf numFmtId="9" fontId="0" fillId="2" borderId="0" xfId="1" applyFont="1" applyFill="1"/>
    <xf numFmtId="164" fontId="0" fillId="2" borderId="4" xfId="0" applyNumberFormat="1" applyFill="1" applyBorder="1"/>
    <xf numFmtId="164" fontId="0" fillId="2" borderId="5" xfId="0" applyNumberFormat="1" applyFill="1" applyBorder="1"/>
    <xf numFmtId="164" fontId="0" fillId="2" borderId="7" xfId="0" applyNumberFormat="1" applyFill="1" applyBorder="1"/>
    <xf numFmtId="164" fontId="2" fillId="2" borderId="0" xfId="0" applyNumberFormat="1" applyFont="1" applyFill="1" applyBorder="1"/>
    <xf numFmtId="164" fontId="0" fillId="2" borderId="3" xfId="0" applyNumberFormat="1" applyFill="1" applyBorder="1"/>
    <xf numFmtId="164" fontId="0" fillId="0" borderId="0" xfId="0" applyNumberFormat="1" applyFill="1" applyBorder="1"/>
    <xf numFmtId="164" fontId="3" fillId="0" borderId="0" xfId="0" applyNumberFormat="1" applyFont="1" applyFill="1" applyBorder="1"/>
    <xf numFmtId="164" fontId="10" fillId="2" borderId="0" xfId="0" applyNumberFormat="1" applyFont="1" applyFill="1"/>
    <xf numFmtId="164" fontId="2" fillId="5" borderId="8" xfId="0" applyNumberFormat="1" applyFont="1" applyFill="1" applyBorder="1"/>
    <xf numFmtId="164" fontId="0" fillId="5" borderId="8" xfId="0" applyNumberFormat="1" applyFill="1" applyBorder="1"/>
    <xf numFmtId="164" fontId="0" fillId="0" borderId="0" xfId="0" applyNumberFormat="1" applyBorder="1"/>
    <xf numFmtId="164" fontId="0" fillId="2" borderId="9" xfId="0" applyNumberFormat="1" applyFill="1" applyBorder="1"/>
    <xf numFmtId="164" fontId="2" fillId="4" borderId="7" xfId="0" applyNumberFormat="1" applyFont="1" applyFill="1" applyBorder="1"/>
    <xf numFmtId="164" fontId="0" fillId="0" borderId="10" xfId="0" applyNumberFormat="1" applyBorder="1"/>
    <xf numFmtId="164" fontId="0" fillId="0" borderId="11" xfId="0" applyNumberFormat="1" applyBorder="1"/>
    <xf numFmtId="164" fontId="0" fillId="0" borderId="13" xfId="0" applyNumberFormat="1" applyBorder="1"/>
    <xf numFmtId="10" fontId="0" fillId="0" borderId="0" xfId="1" applyNumberFormat="1" applyFont="1" applyBorder="1"/>
    <xf numFmtId="10" fontId="4" fillId="0" borderId="0" xfId="1" applyNumberFormat="1" applyFont="1" applyBorder="1"/>
    <xf numFmtId="10" fontId="4" fillId="0" borderId="2" xfId="1" applyNumberFormat="1" applyFont="1" applyBorder="1"/>
    <xf numFmtId="164" fontId="4" fillId="0" borderId="0" xfId="0" applyNumberFormat="1" applyFont="1" applyBorder="1"/>
    <xf numFmtId="10" fontId="0" fillId="0" borderId="2" xfId="1" applyNumberFormat="1" applyFont="1" applyBorder="1"/>
    <xf numFmtId="164" fontId="4" fillId="0" borderId="5" xfId="0" applyNumberFormat="1" applyFont="1" applyBorder="1"/>
    <xf numFmtId="10" fontId="0" fillId="0" borderId="5" xfId="1" applyNumberFormat="1" applyFont="1" applyBorder="1"/>
    <xf numFmtId="10" fontId="0" fillId="0" borderId="7" xfId="1" applyNumberFormat="1" applyFont="1" applyBorder="1"/>
    <xf numFmtId="164" fontId="0" fillId="2" borderId="0" xfId="0" applyNumberFormat="1" applyFill="1" applyBorder="1" applyAlignment="1">
      <alignment vertical="top"/>
    </xf>
    <xf numFmtId="164" fontId="0" fillId="2" borderId="0" xfId="0" applyNumberFormat="1" applyFill="1" applyBorder="1" applyAlignment="1">
      <alignment vertical="top" wrapText="1"/>
    </xf>
    <xf numFmtId="164" fontId="0" fillId="6" borderId="0" xfId="0" applyNumberFormat="1" applyFill="1"/>
    <xf numFmtId="164" fontId="0" fillId="6" borderId="0" xfId="0" applyNumberFormat="1" applyFill="1" applyBorder="1"/>
    <xf numFmtId="164" fontId="17" fillId="6" borderId="0" xfId="0" applyNumberFormat="1" applyFont="1" applyFill="1"/>
    <xf numFmtId="164" fontId="17" fillId="6" borderId="0" xfId="0" applyNumberFormat="1" applyFont="1" applyFill="1" applyAlignment="1">
      <alignment horizontal="right"/>
    </xf>
    <xf numFmtId="164" fontId="18" fillId="6" borderId="0" xfId="0" applyNumberFormat="1" applyFont="1" applyFill="1"/>
    <xf numFmtId="164" fontId="19" fillId="6" borderId="0" xfId="0" applyNumberFormat="1" applyFont="1" applyFill="1"/>
    <xf numFmtId="164" fontId="18" fillId="6" borderId="0" xfId="0" applyNumberFormat="1" applyFont="1" applyFill="1" applyBorder="1"/>
    <xf numFmtId="164" fontId="17" fillId="6" borderId="0" xfId="0" applyNumberFormat="1" applyFont="1" applyFill="1" applyBorder="1"/>
    <xf numFmtId="164" fontId="20" fillId="6" borderId="0" xfId="0" applyNumberFormat="1" applyFont="1" applyFill="1"/>
    <xf numFmtId="164" fontId="20" fillId="6" borderId="1" xfId="0" applyNumberFormat="1" applyFont="1" applyFill="1" applyBorder="1"/>
    <xf numFmtId="164" fontId="20" fillId="6" borderId="10" xfId="0" applyNumberFormat="1" applyFont="1" applyFill="1" applyBorder="1"/>
    <xf numFmtId="164" fontId="20" fillId="6" borderId="11" xfId="0" applyNumberFormat="1" applyFont="1" applyFill="1" applyBorder="1"/>
    <xf numFmtId="164" fontId="20" fillId="6" borderId="13" xfId="0" applyNumberFormat="1" applyFont="1" applyFill="1" applyBorder="1"/>
    <xf numFmtId="10" fontId="20" fillId="6" borderId="0" xfId="1" applyNumberFormat="1" applyFont="1" applyFill="1" applyBorder="1"/>
    <xf numFmtId="10" fontId="20" fillId="6" borderId="2" xfId="1" applyNumberFormat="1" applyFont="1" applyFill="1" applyBorder="1"/>
    <xf numFmtId="164" fontId="20" fillId="6" borderId="0" xfId="0" applyNumberFormat="1" applyFont="1" applyFill="1" applyBorder="1"/>
    <xf numFmtId="164" fontId="20" fillId="6" borderId="5" xfId="0" applyNumberFormat="1" applyFont="1" applyFill="1" applyBorder="1"/>
    <xf numFmtId="10" fontId="20" fillId="6" borderId="5" xfId="1" applyNumberFormat="1" applyFont="1" applyFill="1" applyBorder="1"/>
    <xf numFmtId="10" fontId="20" fillId="6" borderId="7" xfId="1" applyNumberFormat="1" applyFont="1" applyFill="1" applyBorder="1"/>
    <xf numFmtId="164" fontId="0" fillId="6" borderId="0" xfId="0" applyNumberFormat="1" applyFill="1" applyBorder="1" applyAlignment="1">
      <alignment horizontal="left" vertical="top"/>
    </xf>
    <xf numFmtId="164" fontId="0" fillId="6" borderId="0" xfId="0" applyNumberFormat="1" applyFill="1" applyBorder="1" applyAlignment="1">
      <alignment horizontal="left" vertical="top" wrapText="1"/>
    </xf>
    <xf numFmtId="164" fontId="0" fillId="6" borderId="0" xfId="0" applyNumberFormat="1" applyFill="1" applyAlignment="1">
      <alignment horizontal="left" vertical="top" wrapText="1"/>
    </xf>
    <xf numFmtId="164" fontId="19" fillId="6" borderId="11" xfId="0" applyNumberFormat="1" applyFont="1" applyFill="1" applyBorder="1" applyAlignment="1">
      <alignment horizontal="center"/>
    </xf>
    <xf numFmtId="164" fontId="19" fillId="6" borderId="12" xfId="0" applyNumberFormat="1" applyFont="1" applyFill="1" applyBorder="1" applyAlignment="1">
      <alignment horizontal="center"/>
    </xf>
    <xf numFmtId="164" fontId="19" fillId="6" borderId="13" xfId="0" applyNumberFormat="1" applyFont="1" applyFill="1" applyBorder="1" applyAlignment="1">
      <alignment horizontal="right" vertical="center" wrapText="1"/>
    </xf>
    <xf numFmtId="164" fontId="19" fillId="6" borderId="14" xfId="0" applyNumberFormat="1" applyFont="1" applyFill="1" applyBorder="1" applyAlignment="1">
      <alignment horizontal="right" vertical="center" wrapText="1"/>
    </xf>
    <xf numFmtId="164" fontId="2" fillId="0" borderId="13" xfId="0" applyNumberFormat="1" applyFont="1" applyBorder="1" applyAlignment="1">
      <alignment horizontal="right" vertical="center" wrapText="1"/>
    </xf>
    <xf numFmtId="164" fontId="2" fillId="0" borderId="14" xfId="0" applyNumberFormat="1" applyFont="1" applyBorder="1" applyAlignment="1">
      <alignment horizontal="right" vertical="center" wrapText="1"/>
    </xf>
    <xf numFmtId="164" fontId="2" fillId="0" borderId="11" xfId="0" applyNumberFormat="1" applyFont="1" applyBorder="1" applyAlignment="1">
      <alignment horizontal="center"/>
    </xf>
    <xf numFmtId="164" fontId="2" fillId="0" borderId="12" xfId="0" applyNumberFormat="1" applyFont="1" applyBorder="1" applyAlignment="1">
      <alignment horizontal="center"/>
    </xf>
    <xf numFmtId="164" fontId="0" fillId="6" borderId="0" xfId="0" applyNumberFormat="1" applyFill="1" applyBorder="1" applyAlignment="1">
      <alignment horizontal="left" wrapText="1"/>
    </xf>
    <xf numFmtId="164" fontId="8" fillId="6" borderId="0" xfId="0" applyNumberFormat="1" applyFont="1" applyFill="1" applyBorder="1" applyAlignment="1">
      <alignment horizontal="left" wrapText="1"/>
    </xf>
    <xf numFmtId="164" fontId="0" fillId="6" borderId="0" xfId="0" quotePrefix="1" applyNumberFormat="1" applyFill="1" applyAlignment="1">
      <alignment horizontal="left" vertical="top" wrapText="1"/>
    </xf>
    <xf numFmtId="164" fontId="2" fillId="6" borderId="0" xfId="0" applyNumberFormat="1" applyFont="1" applyFill="1" applyBorder="1" applyAlignment="1">
      <alignment horizontal="left" wrapText="1"/>
    </xf>
    <xf numFmtId="164" fontId="21" fillId="6" borderId="0" xfId="0" applyNumberFormat="1" applyFont="1"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705971</xdr:colOff>
      <xdr:row>5</xdr:row>
      <xdr:rowOff>80023</xdr:rowOff>
    </xdr:to>
    <xdr:pic>
      <xdr:nvPicPr>
        <xdr:cNvPr id="3" name="Picture 2">
          <a:extLst>
            <a:ext uri="{FF2B5EF4-FFF2-40B4-BE49-F238E27FC236}">
              <a16:creationId xmlns:a16="http://schemas.microsoft.com/office/drawing/2014/main" id="{4DB92A58-C35A-4442-80B4-AD4A6BBEE0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980765" cy="1032522"/>
        </a:xfrm>
        <a:prstGeom prst="rect">
          <a:avLst/>
        </a:prstGeom>
      </xdr:spPr>
    </xdr:pic>
    <xdr:clientData/>
  </xdr:twoCellAnchor>
  <xdr:twoCellAnchor editAs="oneCell">
    <xdr:from>
      <xdr:col>3</xdr:col>
      <xdr:colOff>78441</xdr:colOff>
      <xdr:row>1</xdr:row>
      <xdr:rowOff>56029</xdr:rowOff>
    </xdr:from>
    <xdr:to>
      <xdr:col>5</xdr:col>
      <xdr:colOff>806823</xdr:colOff>
      <xdr:row>4</xdr:row>
      <xdr:rowOff>143533</xdr:rowOff>
    </xdr:to>
    <xdr:pic>
      <xdr:nvPicPr>
        <xdr:cNvPr id="4" name="Picture 3">
          <a:extLst>
            <a:ext uri="{FF2B5EF4-FFF2-40B4-BE49-F238E27FC236}">
              <a16:creationId xmlns:a16="http://schemas.microsoft.com/office/drawing/2014/main" id="{CBFF507F-099C-471D-ADAC-6CB29A1B0E93}"/>
            </a:ext>
          </a:extLst>
        </xdr:cNvPr>
        <xdr:cNvPicPr>
          <a:picLocks noChangeAspect="1"/>
        </xdr:cNvPicPr>
      </xdr:nvPicPr>
      <xdr:blipFill>
        <a:blip xmlns:r="http://schemas.openxmlformats.org/officeDocument/2006/relationships" r:embed="rId2"/>
        <a:stretch>
          <a:fillRect/>
        </a:stretch>
      </xdr:blipFill>
      <xdr:spPr>
        <a:xfrm>
          <a:off x="3361765" y="246529"/>
          <a:ext cx="2891117" cy="6590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705971</xdr:colOff>
      <xdr:row>5</xdr:row>
      <xdr:rowOff>80023</xdr:rowOff>
    </xdr:to>
    <xdr:pic>
      <xdr:nvPicPr>
        <xdr:cNvPr id="2" name="Picture 1">
          <a:extLst>
            <a:ext uri="{FF2B5EF4-FFF2-40B4-BE49-F238E27FC236}">
              <a16:creationId xmlns:a16="http://schemas.microsoft.com/office/drawing/2014/main" id="{A1E1C1A1-5260-4258-8C1D-A10F523619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982446" cy="1032522"/>
        </a:xfrm>
        <a:prstGeom prst="rect">
          <a:avLst/>
        </a:prstGeom>
      </xdr:spPr>
    </xdr:pic>
    <xdr:clientData/>
  </xdr:twoCellAnchor>
  <xdr:twoCellAnchor editAs="oneCell">
    <xdr:from>
      <xdr:col>3</xdr:col>
      <xdr:colOff>336177</xdr:colOff>
      <xdr:row>0</xdr:row>
      <xdr:rowOff>0</xdr:rowOff>
    </xdr:from>
    <xdr:to>
      <xdr:col>4</xdr:col>
      <xdr:colOff>1053353</xdr:colOff>
      <xdr:row>5</xdr:row>
      <xdr:rowOff>120736</xdr:rowOff>
    </xdr:to>
    <xdr:pic>
      <xdr:nvPicPr>
        <xdr:cNvPr id="4" name="Picture 3">
          <a:extLst>
            <a:ext uri="{FF2B5EF4-FFF2-40B4-BE49-F238E27FC236}">
              <a16:creationId xmlns:a16="http://schemas.microsoft.com/office/drawing/2014/main" id="{E5AE36E1-7152-4F82-8BF7-4AA660D0A4A9}"/>
            </a:ext>
          </a:extLst>
        </xdr:cNvPr>
        <xdr:cNvPicPr>
          <a:picLocks noChangeAspect="1"/>
        </xdr:cNvPicPr>
      </xdr:nvPicPr>
      <xdr:blipFill>
        <a:blip xmlns:r="http://schemas.openxmlformats.org/officeDocument/2006/relationships" r:embed="rId2"/>
        <a:stretch>
          <a:fillRect/>
        </a:stretch>
      </xdr:blipFill>
      <xdr:spPr>
        <a:xfrm>
          <a:off x="3619501" y="0"/>
          <a:ext cx="1759323" cy="10732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705971</xdr:colOff>
      <xdr:row>5</xdr:row>
      <xdr:rowOff>80023</xdr:rowOff>
    </xdr:to>
    <xdr:pic>
      <xdr:nvPicPr>
        <xdr:cNvPr id="2" name="Picture 1">
          <a:extLst>
            <a:ext uri="{FF2B5EF4-FFF2-40B4-BE49-F238E27FC236}">
              <a16:creationId xmlns:a16="http://schemas.microsoft.com/office/drawing/2014/main" id="{35836C85-E66C-48A5-BB58-8720858E58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982446" cy="1032522"/>
        </a:xfrm>
        <a:prstGeom prst="rect">
          <a:avLst/>
        </a:prstGeom>
      </xdr:spPr>
    </xdr:pic>
    <xdr:clientData/>
  </xdr:twoCellAnchor>
  <xdr:twoCellAnchor editAs="oneCell">
    <xdr:from>
      <xdr:col>3</xdr:col>
      <xdr:colOff>112058</xdr:colOff>
      <xdr:row>1</xdr:row>
      <xdr:rowOff>33618</xdr:rowOff>
    </xdr:from>
    <xdr:to>
      <xdr:col>6</xdr:col>
      <xdr:colOff>268941</xdr:colOff>
      <xdr:row>4</xdr:row>
      <xdr:rowOff>80147</xdr:rowOff>
    </xdr:to>
    <xdr:pic>
      <xdr:nvPicPr>
        <xdr:cNvPr id="4" name="Picture 3">
          <a:extLst>
            <a:ext uri="{FF2B5EF4-FFF2-40B4-BE49-F238E27FC236}">
              <a16:creationId xmlns:a16="http://schemas.microsoft.com/office/drawing/2014/main" id="{6DA14AB8-B4D6-4D47-ABDA-EAE0197B6199}"/>
            </a:ext>
          </a:extLst>
        </xdr:cNvPr>
        <xdr:cNvPicPr>
          <a:picLocks noChangeAspect="1"/>
        </xdr:cNvPicPr>
      </xdr:nvPicPr>
      <xdr:blipFill>
        <a:blip xmlns:r="http://schemas.openxmlformats.org/officeDocument/2006/relationships" r:embed="rId2"/>
        <a:stretch>
          <a:fillRect/>
        </a:stretch>
      </xdr:blipFill>
      <xdr:spPr>
        <a:xfrm>
          <a:off x="3395382" y="224118"/>
          <a:ext cx="3305735" cy="6180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705971</xdr:colOff>
      <xdr:row>5</xdr:row>
      <xdr:rowOff>80023</xdr:rowOff>
    </xdr:to>
    <xdr:pic>
      <xdr:nvPicPr>
        <xdr:cNvPr id="2" name="Picture 1">
          <a:extLst>
            <a:ext uri="{FF2B5EF4-FFF2-40B4-BE49-F238E27FC236}">
              <a16:creationId xmlns:a16="http://schemas.microsoft.com/office/drawing/2014/main" id="{73AE7C3C-393B-4076-BE22-525A40F5D8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2982446" cy="1032522"/>
        </a:xfrm>
        <a:prstGeom prst="rect">
          <a:avLst/>
        </a:prstGeom>
      </xdr:spPr>
    </xdr:pic>
    <xdr:clientData/>
  </xdr:twoCellAnchor>
  <xdr:twoCellAnchor editAs="oneCell">
    <xdr:from>
      <xdr:col>3</xdr:col>
      <xdr:colOff>56028</xdr:colOff>
      <xdr:row>0</xdr:row>
      <xdr:rowOff>156882</xdr:rowOff>
    </xdr:from>
    <xdr:to>
      <xdr:col>5</xdr:col>
      <xdr:colOff>255198</xdr:colOff>
      <xdr:row>5</xdr:row>
      <xdr:rowOff>4382</xdr:rowOff>
    </xdr:to>
    <xdr:pic>
      <xdr:nvPicPr>
        <xdr:cNvPr id="4" name="Picture 3">
          <a:extLst>
            <a:ext uri="{FF2B5EF4-FFF2-40B4-BE49-F238E27FC236}">
              <a16:creationId xmlns:a16="http://schemas.microsoft.com/office/drawing/2014/main" id="{3209C7B9-2195-4713-9090-34D9A1C0E5EF}"/>
            </a:ext>
          </a:extLst>
        </xdr:cNvPr>
        <xdr:cNvPicPr>
          <a:picLocks noChangeAspect="1"/>
        </xdr:cNvPicPr>
      </xdr:nvPicPr>
      <xdr:blipFill>
        <a:blip xmlns:r="http://schemas.openxmlformats.org/officeDocument/2006/relationships" r:embed="rId2"/>
        <a:stretch>
          <a:fillRect/>
        </a:stretch>
      </xdr:blipFill>
      <xdr:spPr>
        <a:xfrm>
          <a:off x="3339352" y="156882"/>
          <a:ext cx="2361905" cy="80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BDB7A-2CC3-4F1A-81AD-5A224A4BB592}">
  <dimension ref="A1:N51"/>
  <sheetViews>
    <sheetView tabSelected="1" zoomScale="85" zoomScaleNormal="85" workbookViewId="0">
      <selection activeCell="N18" sqref="N18"/>
    </sheetView>
  </sheetViews>
  <sheetFormatPr defaultRowHeight="15" x14ac:dyDescent="0.25"/>
  <cols>
    <col min="1" max="1" width="14.5703125" style="1" bestFit="1" customWidth="1"/>
    <col min="2" max="2" width="19.5703125" style="1" customWidth="1"/>
    <col min="3" max="3" width="15.140625" style="1" customWidth="1"/>
    <col min="4" max="4" width="15.5703125" style="1" customWidth="1"/>
    <col min="5" max="5" width="16.85546875" style="1" customWidth="1"/>
    <col min="6" max="7" width="14.7109375" style="1" customWidth="1"/>
    <col min="8" max="8" width="19.85546875" style="1" customWidth="1"/>
    <col min="9" max="9" width="15.5703125" style="1" customWidth="1"/>
    <col min="10" max="10" width="16.5703125" style="1" customWidth="1"/>
    <col min="11" max="11" width="15.42578125" style="1" customWidth="1"/>
    <col min="12" max="12" width="13.85546875" style="1" customWidth="1"/>
    <col min="13" max="13" width="19.5703125" style="1" customWidth="1"/>
    <col min="14" max="16384" width="9.140625" style="1"/>
  </cols>
  <sheetData>
    <row r="1" spans="1:12" s="34" customFormat="1" x14ac:dyDescent="0.25">
      <c r="A1" s="4"/>
      <c r="B1" s="4"/>
      <c r="C1" s="4"/>
      <c r="D1" s="4"/>
      <c r="E1" s="4"/>
      <c r="F1" s="4"/>
      <c r="G1" s="4"/>
      <c r="H1" s="4"/>
      <c r="I1" s="4"/>
      <c r="J1" s="4"/>
      <c r="K1" s="4"/>
      <c r="L1" s="16"/>
    </row>
    <row r="2" spans="1:12" s="34" customFormat="1" x14ac:dyDescent="0.25">
      <c r="A2" s="4"/>
      <c r="B2" s="4"/>
      <c r="C2" s="4"/>
      <c r="D2" s="4"/>
      <c r="E2" s="4"/>
      <c r="F2" s="7"/>
      <c r="G2" s="74" t="s">
        <v>47</v>
      </c>
      <c r="H2" s="74"/>
      <c r="I2" s="74"/>
      <c r="J2" s="74"/>
      <c r="K2" s="74"/>
      <c r="L2" s="16"/>
    </row>
    <row r="3" spans="1:12" s="34" customFormat="1" x14ac:dyDescent="0.25">
      <c r="A3" s="4"/>
      <c r="B3" s="4"/>
      <c r="C3" s="4"/>
      <c r="D3" s="4"/>
      <c r="E3" s="4"/>
      <c r="F3" s="5"/>
      <c r="G3" s="74" t="s">
        <v>44</v>
      </c>
      <c r="H3" s="74"/>
      <c r="I3" s="74"/>
      <c r="J3" s="74"/>
      <c r="K3" s="74"/>
      <c r="L3" s="16"/>
    </row>
    <row r="4" spans="1:12" s="34" customFormat="1" x14ac:dyDescent="0.25">
      <c r="A4" s="4"/>
      <c r="B4" s="4"/>
      <c r="C4" s="4"/>
      <c r="D4" s="4"/>
      <c r="E4" s="4"/>
      <c r="F4" s="4"/>
      <c r="G4" s="75" t="s">
        <v>45</v>
      </c>
      <c r="H4" s="75"/>
      <c r="I4" s="75"/>
      <c r="J4" s="75"/>
      <c r="K4" s="75"/>
      <c r="L4" s="16"/>
    </row>
    <row r="5" spans="1:12" s="34" customFormat="1" x14ac:dyDescent="0.25">
      <c r="A5" s="4"/>
      <c r="B5" s="4"/>
      <c r="C5" s="4"/>
      <c r="D5" s="4"/>
      <c r="E5" s="4"/>
      <c r="F5" s="4"/>
      <c r="G5" s="75"/>
      <c r="H5" s="75"/>
      <c r="I5" s="75"/>
      <c r="J5" s="75"/>
      <c r="K5" s="75"/>
      <c r="L5" s="16"/>
    </row>
    <row r="6" spans="1:12" s="34" customFormat="1" x14ac:dyDescent="0.25">
      <c r="A6" s="4"/>
      <c r="B6" s="4"/>
      <c r="C6" s="4"/>
      <c r="D6" s="4"/>
      <c r="E6" s="4"/>
      <c r="F6" s="4"/>
      <c r="G6" s="62" t="s">
        <v>79</v>
      </c>
      <c r="H6" s="56"/>
      <c r="I6" s="56"/>
      <c r="J6" s="56"/>
      <c r="K6" s="56"/>
      <c r="L6" s="16"/>
    </row>
    <row r="7" spans="1:12" s="35" customFormat="1" ht="19.5" thickBot="1" x14ac:dyDescent="0.35">
      <c r="A7" s="9"/>
      <c r="B7" s="9" t="s">
        <v>12</v>
      </c>
      <c r="C7" s="9"/>
      <c r="D7" s="9"/>
      <c r="E7" s="8"/>
      <c r="F7" s="8"/>
      <c r="G7" s="8"/>
      <c r="H7" s="8"/>
      <c r="I7" s="8"/>
      <c r="J7" s="8"/>
      <c r="K7" s="8"/>
      <c r="L7" s="10"/>
    </row>
    <row r="8" spans="1:12" s="34" customFormat="1" ht="15.75" thickTop="1" x14ac:dyDescent="0.25">
      <c r="A8" s="4"/>
      <c r="B8" s="4"/>
      <c r="C8" s="4"/>
      <c r="D8" s="4"/>
      <c r="E8" s="4"/>
      <c r="F8" s="4"/>
      <c r="G8" s="4"/>
      <c r="H8" s="4"/>
      <c r="I8" s="4"/>
      <c r="J8" s="4"/>
      <c r="K8" s="4"/>
      <c r="L8" s="16"/>
    </row>
    <row r="9" spans="1:12" ht="18.75" x14ac:dyDescent="0.3">
      <c r="A9" s="2"/>
      <c r="B9" s="17" t="s">
        <v>3</v>
      </c>
      <c r="C9" s="2"/>
      <c r="D9" s="2"/>
      <c r="E9" s="2"/>
      <c r="F9" s="2"/>
      <c r="G9" s="2"/>
      <c r="H9" s="17" t="s">
        <v>28</v>
      </c>
      <c r="I9" s="2"/>
      <c r="J9" s="2"/>
      <c r="K9" s="2"/>
      <c r="L9" s="20"/>
    </row>
    <row r="10" spans="1:12" x14ac:dyDescent="0.25">
      <c r="A10" s="2"/>
      <c r="B10" s="2"/>
      <c r="C10" s="2"/>
      <c r="D10" s="2"/>
      <c r="E10" s="2"/>
      <c r="F10" s="2"/>
      <c r="G10" s="2"/>
      <c r="H10" s="2"/>
      <c r="I10" s="2"/>
      <c r="J10" s="2"/>
      <c r="K10" s="2"/>
      <c r="L10" s="21"/>
    </row>
    <row r="11" spans="1:12" x14ac:dyDescent="0.25">
      <c r="A11" s="2"/>
      <c r="B11" s="18" t="s">
        <v>5</v>
      </c>
      <c r="C11" s="19" t="s">
        <v>4</v>
      </c>
      <c r="D11" s="19" t="s">
        <v>6</v>
      </c>
      <c r="E11" s="19" t="s">
        <v>11</v>
      </c>
      <c r="F11" s="2"/>
      <c r="G11" s="2"/>
      <c r="H11" s="2" t="s">
        <v>23</v>
      </c>
      <c r="I11" s="2"/>
      <c r="J11" s="2">
        <f>D16*12</f>
        <v>8946000</v>
      </c>
      <c r="K11" s="2"/>
      <c r="L11" s="21"/>
    </row>
    <row r="12" spans="1:12" ht="15.75" thickBot="1" x14ac:dyDescent="0.3">
      <c r="A12" s="2"/>
      <c r="B12" s="2" t="s">
        <v>7</v>
      </c>
      <c r="C12" s="3">
        <v>75</v>
      </c>
      <c r="D12" s="3">
        <v>1500</v>
      </c>
      <c r="E12" s="3">
        <v>450</v>
      </c>
      <c r="F12" s="2"/>
      <c r="G12" s="2"/>
      <c r="H12" s="2" t="s">
        <v>24</v>
      </c>
      <c r="I12" s="22">
        <v>0.25</v>
      </c>
      <c r="J12" s="23">
        <f>J11*I12</f>
        <v>2236500</v>
      </c>
      <c r="K12" s="2"/>
      <c r="L12" s="21"/>
    </row>
    <row r="13" spans="1:12" ht="15.75" thickTop="1" x14ac:dyDescent="0.25">
      <c r="A13" s="2"/>
      <c r="B13" s="2" t="s">
        <v>8</v>
      </c>
      <c r="C13" s="3">
        <v>150</v>
      </c>
      <c r="D13" s="3">
        <v>1800</v>
      </c>
      <c r="E13" s="3">
        <v>550</v>
      </c>
      <c r="F13" s="4"/>
      <c r="G13" s="2"/>
      <c r="H13" s="18" t="s">
        <v>25</v>
      </c>
      <c r="I13" s="18"/>
      <c r="J13" s="18">
        <f>J11-J12</f>
        <v>6709500</v>
      </c>
      <c r="L13" s="21"/>
    </row>
    <row r="14" spans="1:12" x14ac:dyDescent="0.25">
      <c r="A14" s="2"/>
      <c r="B14" s="2" t="s">
        <v>10</v>
      </c>
      <c r="C14" s="3">
        <v>120</v>
      </c>
      <c r="D14" s="3">
        <v>2400</v>
      </c>
      <c r="E14" s="3">
        <v>750</v>
      </c>
      <c r="F14" s="2"/>
      <c r="G14" s="2"/>
      <c r="H14" s="2"/>
      <c r="I14" s="2"/>
      <c r="J14" s="2"/>
      <c r="K14" s="2"/>
      <c r="L14" s="16"/>
    </row>
    <row r="15" spans="1:12" ht="15.75" thickBot="1" x14ac:dyDescent="0.3">
      <c r="A15" s="2"/>
      <c r="B15" s="2" t="s">
        <v>9</v>
      </c>
      <c r="C15" s="25">
        <v>25</v>
      </c>
      <c r="D15" s="25">
        <v>3000</v>
      </c>
      <c r="E15" s="25">
        <v>1000</v>
      </c>
      <c r="F15" s="2"/>
      <c r="G15" s="2"/>
      <c r="H15" s="2" t="s">
        <v>26</v>
      </c>
      <c r="I15" s="27">
        <f>J13/E32</f>
        <v>7.4266343825665854E-2</v>
      </c>
      <c r="J15" s="2"/>
      <c r="K15" s="2"/>
      <c r="L15" s="16"/>
    </row>
    <row r="16" spans="1:12" ht="15.75" thickTop="1" x14ac:dyDescent="0.25">
      <c r="A16" s="2"/>
      <c r="B16" s="2"/>
      <c r="C16" s="36">
        <f>SUM(C12:C15)</f>
        <v>370</v>
      </c>
      <c r="D16" s="36">
        <f>SUMPRODUCT(D12:D15,$C$12:$C$15)</f>
        <v>745500</v>
      </c>
      <c r="E16" s="36">
        <f>SUMPRODUCT(E12:E15,$C$12:$C$15)</f>
        <v>231250</v>
      </c>
      <c r="F16" s="2"/>
      <c r="G16" s="2"/>
      <c r="H16" s="2"/>
      <c r="I16" s="27"/>
      <c r="J16" s="2"/>
      <c r="K16" s="2"/>
      <c r="L16" s="16"/>
    </row>
    <row r="17" spans="1:12" x14ac:dyDescent="0.25">
      <c r="A17" s="2"/>
      <c r="B17" s="2"/>
      <c r="C17" s="2"/>
      <c r="D17" s="2"/>
      <c r="E17" s="2"/>
      <c r="F17" s="2"/>
      <c r="G17" s="2"/>
      <c r="H17" s="2"/>
      <c r="I17" s="2"/>
      <c r="J17" s="2"/>
      <c r="K17" s="2"/>
      <c r="L17" s="16"/>
    </row>
    <row r="18" spans="1:12" ht="18.75" x14ac:dyDescent="0.3">
      <c r="A18" s="2"/>
      <c r="B18" s="17" t="s">
        <v>2</v>
      </c>
      <c r="C18" s="2"/>
      <c r="D18" s="2"/>
      <c r="E18" s="2"/>
      <c r="F18" s="2"/>
      <c r="G18" s="2"/>
      <c r="H18" s="2" t="s">
        <v>27</v>
      </c>
      <c r="I18" s="3">
        <v>5</v>
      </c>
      <c r="J18" s="2" t="s">
        <v>22</v>
      </c>
      <c r="K18" s="2"/>
      <c r="L18" s="16"/>
    </row>
    <row r="19" spans="1:12" x14ac:dyDescent="0.25">
      <c r="A19" s="2"/>
      <c r="B19" s="2"/>
      <c r="C19" s="2"/>
      <c r="D19" s="2"/>
      <c r="E19" s="2"/>
      <c r="F19" s="2"/>
      <c r="G19" s="2"/>
      <c r="H19" s="18" t="s">
        <v>29</v>
      </c>
      <c r="I19" s="18"/>
      <c r="J19" s="18"/>
      <c r="K19" s="18">
        <f>I18*J13</f>
        <v>33547500</v>
      </c>
      <c r="L19" s="16"/>
    </row>
    <row r="20" spans="1:12" x14ac:dyDescent="0.25">
      <c r="A20" s="2"/>
      <c r="B20" s="18" t="s">
        <v>1</v>
      </c>
      <c r="C20" s="2"/>
      <c r="D20" s="2"/>
      <c r="E20" s="2"/>
      <c r="F20" s="2"/>
      <c r="G20" s="2"/>
      <c r="H20" s="2"/>
      <c r="I20" s="2"/>
      <c r="J20" s="2"/>
      <c r="K20" s="2"/>
      <c r="L20" s="16"/>
    </row>
    <row r="21" spans="1:12" x14ac:dyDescent="0.25">
      <c r="A21" s="2"/>
      <c r="B21" s="2" t="s">
        <v>0</v>
      </c>
      <c r="C21" s="2"/>
      <c r="D21" s="3">
        <v>25000000</v>
      </c>
      <c r="E21" s="3"/>
      <c r="F21" s="2"/>
      <c r="G21" s="2"/>
      <c r="H21" s="2"/>
      <c r="I21" s="2"/>
      <c r="J21" s="2"/>
      <c r="K21" s="2"/>
      <c r="L21" s="16"/>
    </row>
    <row r="22" spans="1:12" ht="19.5" thickBot="1" x14ac:dyDescent="0.35">
      <c r="A22" s="2"/>
      <c r="B22" s="2" t="str">
        <f>"+ Purchase Costs"</f>
        <v>+ Purchase Costs</v>
      </c>
      <c r="C22" s="22">
        <v>7.0000000000000007E-2</v>
      </c>
      <c r="D22" s="23">
        <f>D21*C22</f>
        <v>1750000.0000000002</v>
      </c>
      <c r="E22" s="5"/>
      <c r="F22" s="2"/>
      <c r="G22" s="2"/>
      <c r="H22" s="17" t="s">
        <v>34</v>
      </c>
      <c r="I22" s="2"/>
      <c r="J22" s="2"/>
      <c r="K22" s="2"/>
      <c r="L22" s="16"/>
    </row>
    <row r="23" spans="1:12" ht="15.75" thickTop="1" x14ac:dyDescent="0.25">
      <c r="A23" s="2"/>
      <c r="B23" s="18" t="s">
        <v>16</v>
      </c>
      <c r="C23" s="2"/>
      <c r="D23" s="2"/>
      <c r="E23" s="18">
        <f>SUM(D21:D22)</f>
        <v>26750000</v>
      </c>
      <c r="F23" s="2"/>
      <c r="G23" s="2"/>
      <c r="H23" s="2"/>
      <c r="I23" s="2"/>
      <c r="J23" s="2"/>
      <c r="K23" s="2"/>
      <c r="L23" s="16"/>
    </row>
    <row r="24" spans="1:12" x14ac:dyDescent="0.25">
      <c r="A24" s="2"/>
      <c r="B24" s="2"/>
      <c r="C24" s="2"/>
      <c r="D24" s="2"/>
      <c r="E24" s="18"/>
      <c r="F24" s="2"/>
      <c r="G24" s="2"/>
      <c r="H24" s="2" t="s">
        <v>25</v>
      </c>
      <c r="I24" s="2">
        <f>J13</f>
        <v>6709500</v>
      </c>
      <c r="J24" s="2"/>
      <c r="K24" s="2"/>
      <c r="L24" s="16"/>
    </row>
    <row r="25" spans="1:12" x14ac:dyDescent="0.25">
      <c r="A25" s="2"/>
      <c r="B25" s="18" t="s">
        <v>13</v>
      </c>
      <c r="C25" s="2"/>
      <c r="D25" s="2"/>
      <c r="E25" s="2"/>
      <c r="F25" s="2"/>
      <c r="G25" s="2"/>
      <c r="H25" s="2" t="s">
        <v>30</v>
      </c>
      <c r="I25" s="22">
        <v>5.5E-2</v>
      </c>
      <c r="J25" s="2"/>
      <c r="K25" s="2"/>
      <c r="L25" s="16"/>
    </row>
    <row r="26" spans="1:12" x14ac:dyDescent="0.25">
      <c r="A26" s="2"/>
      <c r="B26" s="2" t="s">
        <v>14</v>
      </c>
      <c r="C26" s="2"/>
      <c r="D26" s="24">
        <f>SUMPRODUCT(E12:E15,C12:C15)</f>
        <v>231250</v>
      </c>
      <c r="E26" s="2"/>
      <c r="F26" s="2"/>
      <c r="G26" s="2"/>
      <c r="H26" s="2" t="s">
        <v>31</v>
      </c>
      <c r="I26" s="2"/>
      <c r="J26" s="2">
        <f>I24/I25</f>
        <v>121990909.09090909</v>
      </c>
      <c r="K26" s="2"/>
      <c r="L26" s="16"/>
    </row>
    <row r="27" spans="1:12" ht="15.75" thickBot="1" x14ac:dyDescent="0.3">
      <c r="A27" s="2"/>
      <c r="B27" s="2" t="s">
        <v>15</v>
      </c>
      <c r="C27" s="2"/>
      <c r="D27" s="25">
        <v>275</v>
      </c>
      <c r="E27" s="2"/>
      <c r="F27" s="2"/>
      <c r="G27" s="2"/>
      <c r="H27" s="2" t="str">
        <f>"- sales costs"</f>
        <v>- sales costs</v>
      </c>
      <c r="I27" s="22">
        <v>0.02</v>
      </c>
      <c r="J27" s="6">
        <f>J26*I27</f>
        <v>2439818.1818181821</v>
      </c>
      <c r="K27" s="2"/>
      <c r="L27" s="16"/>
    </row>
    <row r="28" spans="1:12" ht="16.5" thickTop="1" thickBot="1" x14ac:dyDescent="0.3">
      <c r="A28" s="2"/>
      <c r="B28" s="18" t="s">
        <v>17</v>
      </c>
      <c r="C28" s="2"/>
      <c r="D28" s="2"/>
      <c r="E28" s="26">
        <f>D26*D27</f>
        <v>63593750</v>
      </c>
      <c r="F28" s="2"/>
      <c r="G28" s="2"/>
      <c r="H28" s="18" t="s">
        <v>32</v>
      </c>
      <c r="I28" s="18"/>
      <c r="J28" s="18"/>
      <c r="K28" s="32">
        <f>J26-J27</f>
        <v>119551090.90909091</v>
      </c>
      <c r="L28" s="16"/>
    </row>
    <row r="29" spans="1:12" ht="15.75" thickTop="1" x14ac:dyDescent="0.25">
      <c r="A29" s="2"/>
      <c r="B29" s="2"/>
      <c r="C29" s="2"/>
      <c r="D29" s="2"/>
      <c r="E29" s="2"/>
      <c r="F29" s="2"/>
      <c r="G29" s="2"/>
      <c r="H29" s="2"/>
      <c r="I29" s="2"/>
      <c r="J29" s="2"/>
      <c r="K29" s="2"/>
      <c r="L29" s="16"/>
    </row>
    <row r="30" spans="1:12" x14ac:dyDescent="0.25">
      <c r="A30" s="2"/>
      <c r="B30" s="2" t="s">
        <v>21</v>
      </c>
      <c r="C30" s="3">
        <v>2</v>
      </c>
      <c r="D30" s="2" t="s">
        <v>22</v>
      </c>
      <c r="E30" s="2"/>
      <c r="F30" s="2"/>
      <c r="G30" s="2"/>
      <c r="H30" s="2"/>
      <c r="I30" s="2"/>
      <c r="J30" s="2"/>
      <c r="K30" s="2"/>
      <c r="L30" s="16"/>
    </row>
    <row r="31" spans="1:12" x14ac:dyDescent="0.25">
      <c r="A31" s="2"/>
      <c r="B31" s="2"/>
      <c r="C31" s="2"/>
      <c r="D31" s="2"/>
      <c r="E31" s="2"/>
      <c r="F31" s="2"/>
      <c r="G31" s="2"/>
      <c r="H31" s="2"/>
      <c r="I31" s="2"/>
      <c r="J31" s="2"/>
      <c r="K31" s="2"/>
      <c r="L31" s="16"/>
    </row>
    <row r="32" spans="1:12" ht="15.75" thickBot="1" x14ac:dyDescent="0.3">
      <c r="A32" s="2"/>
      <c r="B32" s="37" t="s">
        <v>42</v>
      </c>
      <c r="C32" s="37"/>
      <c r="D32" s="37"/>
      <c r="E32" s="37">
        <f>E23+E28</f>
        <v>90343750</v>
      </c>
      <c r="F32" s="38"/>
      <c r="G32" s="38"/>
      <c r="H32" s="37" t="s">
        <v>43</v>
      </c>
      <c r="I32" s="37"/>
      <c r="J32" s="37"/>
      <c r="K32" s="37">
        <f>K19+K28</f>
        <v>153098590.90909091</v>
      </c>
      <c r="L32" s="16"/>
    </row>
    <row r="33" spans="1:14" ht="16.5" thickTop="1" thickBot="1" x14ac:dyDescent="0.3">
      <c r="A33" s="6"/>
      <c r="B33" s="26"/>
      <c r="C33" s="26"/>
      <c r="D33" s="26"/>
      <c r="E33" s="26"/>
      <c r="F33" s="6"/>
      <c r="G33" s="6"/>
      <c r="H33" s="6"/>
      <c r="I33" s="6"/>
      <c r="J33" s="6"/>
      <c r="K33" s="6"/>
      <c r="L33" s="33"/>
    </row>
    <row r="34" spans="1:14" ht="15.75" thickTop="1" x14ac:dyDescent="0.25">
      <c r="A34" s="2"/>
      <c r="B34" s="2"/>
      <c r="C34" s="2"/>
      <c r="D34" s="2"/>
      <c r="E34" s="2"/>
      <c r="F34" s="2"/>
      <c r="G34" s="2"/>
      <c r="H34" s="2"/>
      <c r="I34" s="2"/>
      <c r="J34" s="2"/>
      <c r="K34" s="2"/>
      <c r="L34" s="16"/>
    </row>
    <row r="35" spans="1:14" ht="18.75" x14ac:dyDescent="0.3">
      <c r="A35" s="2"/>
      <c r="B35" s="2"/>
      <c r="C35" s="2"/>
      <c r="D35" s="2"/>
      <c r="E35" s="17" t="s">
        <v>35</v>
      </c>
      <c r="F35" s="2"/>
      <c r="G35" s="2"/>
      <c r="H35" s="2"/>
      <c r="I35" s="2"/>
      <c r="J35" s="2"/>
      <c r="K35" s="2"/>
      <c r="L35" s="16"/>
    </row>
    <row r="36" spans="1:14" x14ac:dyDescent="0.25">
      <c r="A36" s="2"/>
      <c r="B36" s="2"/>
      <c r="C36" s="2"/>
      <c r="D36" s="2"/>
      <c r="E36" s="2"/>
      <c r="F36" s="2"/>
      <c r="G36" s="2"/>
      <c r="H36" s="2"/>
      <c r="I36" s="2"/>
      <c r="J36" s="2"/>
      <c r="K36" s="2"/>
      <c r="L36" s="16"/>
    </row>
    <row r="37" spans="1:14" x14ac:dyDescent="0.25">
      <c r="A37" s="2"/>
      <c r="B37" s="2"/>
      <c r="C37" s="2"/>
      <c r="D37" s="2"/>
      <c r="E37" s="18" t="s">
        <v>33</v>
      </c>
      <c r="F37" s="2"/>
      <c r="G37" s="18">
        <f>K32-E32</f>
        <v>62754840.909090906</v>
      </c>
      <c r="H37" s="2"/>
      <c r="I37" s="2"/>
      <c r="J37" s="2"/>
      <c r="K37" s="2"/>
      <c r="L37" s="16"/>
    </row>
    <row r="38" spans="1:14" x14ac:dyDescent="0.25">
      <c r="A38" s="2"/>
      <c r="B38" s="2"/>
      <c r="C38" s="2"/>
      <c r="D38" s="2"/>
      <c r="E38" s="2" t="s">
        <v>36</v>
      </c>
      <c r="F38" s="2"/>
      <c r="G38" s="28">
        <f>G37/E32</f>
        <v>0.6946229363856482</v>
      </c>
      <c r="H38" s="2"/>
      <c r="I38" s="2"/>
      <c r="J38" s="2"/>
      <c r="K38" s="2"/>
      <c r="L38" s="16"/>
    </row>
    <row r="39" spans="1:14" x14ac:dyDescent="0.25">
      <c r="A39" s="2"/>
      <c r="B39" s="2"/>
      <c r="C39" s="2"/>
      <c r="D39" s="2"/>
      <c r="E39" s="2" t="s">
        <v>41</v>
      </c>
      <c r="F39" s="2"/>
      <c r="G39" s="27">
        <f>IRR(C49:L49)</f>
        <v>0.10765486051053053</v>
      </c>
      <c r="H39" s="2"/>
      <c r="I39" s="2"/>
      <c r="J39" s="2"/>
      <c r="K39" s="2"/>
      <c r="L39" s="16"/>
    </row>
    <row r="40" spans="1:14" x14ac:dyDescent="0.25">
      <c r="A40" s="2"/>
      <c r="B40" s="2"/>
      <c r="C40" s="2"/>
      <c r="D40" s="2"/>
      <c r="E40" s="2"/>
      <c r="F40" s="2"/>
      <c r="G40" s="2"/>
      <c r="H40" s="2"/>
      <c r="I40" s="2"/>
      <c r="J40" s="2"/>
      <c r="K40" s="2"/>
      <c r="L40" s="16"/>
    </row>
    <row r="41" spans="1:14" ht="19.5" thickBot="1" x14ac:dyDescent="0.35">
      <c r="A41" s="9"/>
      <c r="B41" s="9" t="s">
        <v>18</v>
      </c>
      <c r="C41" s="9"/>
      <c r="D41" s="9"/>
      <c r="E41" s="8"/>
      <c r="F41" s="8"/>
      <c r="G41" s="8"/>
      <c r="H41" s="8"/>
      <c r="I41" s="8"/>
      <c r="J41" s="8"/>
      <c r="K41" s="8"/>
      <c r="L41" s="8"/>
    </row>
    <row r="42" spans="1:14" ht="15.75" thickTop="1" x14ac:dyDescent="0.25">
      <c r="A42" s="2"/>
      <c r="B42" s="2"/>
      <c r="C42" s="2"/>
      <c r="D42" s="2"/>
      <c r="E42" s="2"/>
      <c r="F42" s="2"/>
      <c r="G42" s="2"/>
      <c r="H42" s="2"/>
      <c r="I42" s="2"/>
      <c r="J42" s="2"/>
      <c r="K42" s="2"/>
      <c r="L42" s="40"/>
    </row>
    <row r="43" spans="1:14" x14ac:dyDescent="0.25">
      <c r="A43" s="11"/>
      <c r="B43" s="14" t="s">
        <v>19</v>
      </c>
      <c r="C43" s="14">
        <v>1</v>
      </c>
      <c r="D43" s="14">
        <v>2</v>
      </c>
      <c r="E43" s="14">
        <v>3</v>
      </c>
      <c r="F43" s="14">
        <v>4</v>
      </c>
      <c r="G43" s="14">
        <v>5</v>
      </c>
      <c r="H43" s="14">
        <v>6</v>
      </c>
      <c r="I43" s="14">
        <v>7</v>
      </c>
      <c r="J43" s="14">
        <v>8</v>
      </c>
      <c r="K43" s="14">
        <v>9</v>
      </c>
      <c r="L43" s="41">
        <v>10</v>
      </c>
      <c r="M43" s="4"/>
      <c r="N43" s="39"/>
    </row>
    <row r="44" spans="1:14" x14ac:dyDescent="0.25">
      <c r="A44" s="12"/>
      <c r="B44" s="13" t="s">
        <v>40</v>
      </c>
      <c r="C44" s="11"/>
      <c r="D44" s="11"/>
      <c r="E44" s="11"/>
      <c r="F44" s="11"/>
      <c r="G44" s="11"/>
      <c r="H44" s="11"/>
      <c r="I44" s="11"/>
      <c r="J44" s="11"/>
      <c r="K44" s="11"/>
      <c r="L44" s="12"/>
      <c r="M44" s="4"/>
      <c r="N44" s="39"/>
    </row>
    <row r="45" spans="1:14" x14ac:dyDescent="0.25">
      <c r="A45" s="16" t="s">
        <v>20</v>
      </c>
      <c r="B45" s="29">
        <f>SUM(C45:L45)</f>
        <v>-26750000</v>
      </c>
      <c r="C45" s="2">
        <f>-E23</f>
        <v>-26750000</v>
      </c>
      <c r="D45" s="2"/>
      <c r="E45" s="2"/>
      <c r="F45" s="2"/>
      <c r="G45" s="2"/>
      <c r="H45" s="2"/>
      <c r="I45" s="2"/>
      <c r="J45" s="2"/>
      <c r="K45" s="2"/>
      <c r="L45" s="16"/>
      <c r="M45" s="4"/>
      <c r="N45" s="39"/>
    </row>
    <row r="46" spans="1:14" x14ac:dyDescent="0.25">
      <c r="A46" s="16" t="s">
        <v>37</v>
      </c>
      <c r="B46" s="29">
        <f t="shared" ref="B46:B48" si="0">SUM(C46:L46)</f>
        <v>-63593750</v>
      </c>
      <c r="C46" s="2">
        <f t="shared" ref="C46:L46" si="1">(C43&lt;=$C$30)*-($E$28/$C$30)</f>
        <v>-31796875</v>
      </c>
      <c r="D46" s="2">
        <f t="shared" si="1"/>
        <v>-31796875</v>
      </c>
      <c r="E46" s="2">
        <f t="shared" si="1"/>
        <v>0</v>
      </c>
      <c r="F46" s="2">
        <f t="shared" si="1"/>
        <v>0</v>
      </c>
      <c r="G46" s="2">
        <f t="shared" si="1"/>
        <v>0</v>
      </c>
      <c r="H46" s="2">
        <f t="shared" si="1"/>
        <v>0</v>
      </c>
      <c r="I46" s="2">
        <f t="shared" si="1"/>
        <v>0</v>
      </c>
      <c r="J46" s="2">
        <f t="shared" si="1"/>
        <v>0</v>
      </c>
      <c r="K46" s="2">
        <f t="shared" si="1"/>
        <v>0</v>
      </c>
      <c r="L46" s="16">
        <f t="shared" si="1"/>
        <v>0</v>
      </c>
      <c r="M46" s="4"/>
      <c r="N46" s="39"/>
    </row>
    <row r="47" spans="1:14" x14ac:dyDescent="0.25">
      <c r="A47" s="16" t="s">
        <v>38</v>
      </c>
      <c r="B47" s="29">
        <f t="shared" si="0"/>
        <v>33547500</v>
      </c>
      <c r="C47" s="2">
        <f t="shared" ref="C47:L47" si="2">IF(AND(C43&gt;$C$30,C43&lt;=$C$30+$I$18),$J$13,0)</f>
        <v>0</v>
      </c>
      <c r="D47" s="2">
        <f t="shared" si="2"/>
        <v>0</v>
      </c>
      <c r="E47" s="2">
        <f t="shared" si="2"/>
        <v>6709500</v>
      </c>
      <c r="F47" s="2">
        <f t="shared" si="2"/>
        <v>6709500</v>
      </c>
      <c r="G47" s="2">
        <f t="shared" si="2"/>
        <v>6709500</v>
      </c>
      <c r="H47" s="2">
        <f t="shared" si="2"/>
        <v>6709500</v>
      </c>
      <c r="I47" s="2">
        <f t="shared" si="2"/>
        <v>6709500</v>
      </c>
      <c r="J47" s="2">
        <f t="shared" si="2"/>
        <v>0</v>
      </c>
      <c r="K47" s="2">
        <f t="shared" si="2"/>
        <v>0</v>
      </c>
      <c r="L47" s="16">
        <f t="shared" si="2"/>
        <v>0</v>
      </c>
      <c r="M47" s="4"/>
      <c r="N47" s="39"/>
    </row>
    <row r="48" spans="1:14" x14ac:dyDescent="0.25">
      <c r="A48" s="16" t="s">
        <v>39</v>
      </c>
      <c r="B48" s="29">
        <f t="shared" si="0"/>
        <v>119551090.90909091</v>
      </c>
      <c r="C48" s="2">
        <f t="shared" ref="C48:L48" si="3">(C43=$C$30+$I$18)*$K$28</f>
        <v>0</v>
      </c>
      <c r="D48" s="2">
        <f t="shared" si="3"/>
        <v>0</v>
      </c>
      <c r="E48" s="2">
        <f t="shared" si="3"/>
        <v>0</v>
      </c>
      <c r="F48" s="2">
        <f t="shared" si="3"/>
        <v>0</v>
      </c>
      <c r="G48" s="2">
        <f t="shared" si="3"/>
        <v>0</v>
      </c>
      <c r="H48" s="2">
        <f t="shared" si="3"/>
        <v>0</v>
      </c>
      <c r="I48" s="2">
        <f t="shared" si="3"/>
        <v>119551090.90909091</v>
      </c>
      <c r="J48" s="2">
        <f t="shared" si="3"/>
        <v>0</v>
      </c>
      <c r="K48" s="2">
        <f t="shared" si="3"/>
        <v>0</v>
      </c>
      <c r="L48" s="16">
        <f t="shared" si="3"/>
        <v>0</v>
      </c>
      <c r="M48" s="4"/>
      <c r="N48" s="39"/>
    </row>
    <row r="49" spans="1:14" x14ac:dyDescent="0.25">
      <c r="A49" s="12" t="s">
        <v>33</v>
      </c>
      <c r="B49" s="15">
        <f t="shared" ref="B49:L49" si="4">SUM(B45:B48)</f>
        <v>62754840.909090906</v>
      </c>
      <c r="C49" s="11">
        <f t="shared" si="4"/>
        <v>-58546875</v>
      </c>
      <c r="D49" s="11">
        <f t="shared" si="4"/>
        <v>-31796875</v>
      </c>
      <c r="E49" s="11">
        <f t="shared" si="4"/>
        <v>6709500</v>
      </c>
      <c r="F49" s="11">
        <f t="shared" si="4"/>
        <v>6709500</v>
      </c>
      <c r="G49" s="11">
        <f t="shared" si="4"/>
        <v>6709500</v>
      </c>
      <c r="H49" s="11">
        <f t="shared" si="4"/>
        <v>6709500</v>
      </c>
      <c r="I49" s="11">
        <f t="shared" si="4"/>
        <v>126260590.90909091</v>
      </c>
      <c r="J49" s="11">
        <f t="shared" si="4"/>
        <v>0</v>
      </c>
      <c r="K49" s="11">
        <f t="shared" si="4"/>
        <v>0</v>
      </c>
      <c r="L49" s="12">
        <f t="shared" si="4"/>
        <v>0</v>
      </c>
      <c r="M49" s="4"/>
      <c r="N49" s="39"/>
    </row>
    <row r="50" spans="1:14" x14ac:dyDescent="0.25">
      <c r="A50" s="30"/>
      <c r="B50" s="30"/>
      <c r="C50" s="30"/>
      <c r="D50" s="30"/>
      <c r="E50" s="30"/>
      <c r="F50" s="30"/>
      <c r="G50" s="30"/>
      <c r="H50" s="30"/>
      <c r="I50" s="30"/>
      <c r="J50" s="30"/>
      <c r="K50" s="30"/>
      <c r="L50" s="31"/>
      <c r="M50" s="4"/>
      <c r="N50" s="39"/>
    </row>
    <row r="51" spans="1:14" x14ac:dyDescent="0.25">
      <c r="M51" s="39"/>
      <c r="N51" s="39"/>
    </row>
  </sheetData>
  <mergeCells count="3">
    <mergeCell ref="G2:K2"/>
    <mergeCell ref="G3:K3"/>
    <mergeCell ref="G4:K5"/>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F3B29-A34A-4AEB-989C-480D3A48D488}">
  <dimension ref="A1:R51"/>
  <sheetViews>
    <sheetView zoomScale="85" zoomScaleNormal="85" workbookViewId="0">
      <selection activeCell="P23" sqref="P23"/>
    </sheetView>
  </sheetViews>
  <sheetFormatPr defaultRowHeight="15" x14ac:dyDescent="0.25"/>
  <cols>
    <col min="1" max="1" width="14.5703125" style="1" bestFit="1" customWidth="1"/>
    <col min="2" max="2" width="19.5703125" style="1" customWidth="1"/>
    <col min="3" max="3" width="15.140625" style="1" customWidth="1"/>
    <col min="4" max="4" width="15.5703125" style="1" customWidth="1"/>
    <col min="5" max="5" width="16.85546875" style="1" customWidth="1"/>
    <col min="6" max="7" width="14.7109375" style="1" customWidth="1"/>
    <col min="8" max="8" width="19.85546875" style="1" customWidth="1"/>
    <col min="9" max="9" width="15.5703125" style="1" customWidth="1"/>
    <col min="10" max="10" width="16.5703125" style="1" customWidth="1"/>
    <col min="11" max="11" width="15.42578125" style="1" customWidth="1"/>
    <col min="12" max="12" width="13.85546875" style="1" customWidth="1"/>
    <col min="13" max="13" width="5.140625" style="1" customWidth="1"/>
    <col min="14" max="18" width="18.42578125" style="1" customWidth="1"/>
    <col min="19" max="16384" width="9.140625" style="1"/>
  </cols>
  <sheetData>
    <row r="1" spans="1:18" s="34" customFormat="1" x14ac:dyDescent="0.25">
      <c r="A1" s="4"/>
      <c r="B1" s="4"/>
      <c r="C1" s="4"/>
      <c r="D1" s="4"/>
      <c r="E1" s="4"/>
      <c r="F1" s="4"/>
      <c r="G1" s="4"/>
      <c r="H1" s="4"/>
      <c r="I1" s="4"/>
      <c r="J1" s="4"/>
      <c r="K1" s="4"/>
      <c r="L1" s="16"/>
    </row>
    <row r="2" spans="1:18" s="34" customFormat="1" x14ac:dyDescent="0.25">
      <c r="A2" s="4"/>
      <c r="B2" s="4"/>
      <c r="C2" s="4"/>
      <c r="D2" s="4"/>
      <c r="E2" s="4"/>
      <c r="F2" s="7"/>
      <c r="G2" s="4"/>
      <c r="H2" s="4"/>
      <c r="I2" s="4"/>
      <c r="J2" s="4"/>
      <c r="K2" s="4"/>
      <c r="L2" s="16"/>
      <c r="N2" s="74" t="s">
        <v>46</v>
      </c>
      <c r="O2" s="74"/>
      <c r="P2" s="74"/>
      <c r="Q2" s="74"/>
      <c r="R2" s="74"/>
    </row>
    <row r="3" spans="1:18" s="34" customFormat="1" ht="15" customHeight="1" x14ac:dyDescent="0.25">
      <c r="A3" s="4"/>
      <c r="B3" s="4"/>
      <c r="C3" s="4"/>
      <c r="D3" s="4"/>
      <c r="E3" s="4"/>
      <c r="F3" s="5"/>
      <c r="G3" s="4"/>
      <c r="H3" s="4"/>
      <c r="I3" s="4"/>
      <c r="J3" s="4"/>
      <c r="K3" s="4"/>
      <c r="L3" s="16"/>
      <c r="N3" s="75" t="s">
        <v>48</v>
      </c>
      <c r="O3" s="75"/>
      <c r="P3" s="75"/>
      <c r="Q3" s="75"/>
      <c r="R3" s="75"/>
    </row>
    <row r="4" spans="1:18" s="34" customFormat="1" x14ac:dyDescent="0.25">
      <c r="A4" s="4"/>
      <c r="B4" s="4"/>
      <c r="C4" s="4"/>
      <c r="D4" s="4"/>
      <c r="E4" s="4"/>
      <c r="F4" s="4"/>
      <c r="G4" s="4"/>
      <c r="H4" s="4"/>
      <c r="I4" s="4"/>
      <c r="J4" s="4"/>
      <c r="K4" s="4"/>
      <c r="L4" s="16"/>
      <c r="N4" s="75"/>
      <c r="O4" s="75"/>
      <c r="P4" s="75"/>
      <c r="Q4" s="75"/>
      <c r="R4" s="75"/>
    </row>
    <row r="5" spans="1:18" s="34" customFormat="1" x14ac:dyDescent="0.25">
      <c r="A5" s="4"/>
      <c r="B5" s="4"/>
      <c r="C5" s="4"/>
      <c r="D5" s="4"/>
      <c r="E5" s="4"/>
      <c r="F5" s="4"/>
      <c r="G5" s="4"/>
      <c r="H5" s="4"/>
      <c r="I5" s="4"/>
      <c r="J5" s="4"/>
      <c r="K5" s="4"/>
      <c r="L5" s="16"/>
      <c r="N5" s="75"/>
      <c r="O5" s="75"/>
      <c r="P5" s="75"/>
      <c r="Q5" s="75"/>
      <c r="R5" s="75"/>
    </row>
    <row r="6" spans="1:18" s="34" customFormat="1" x14ac:dyDescent="0.25">
      <c r="A6" s="4"/>
      <c r="B6" s="4"/>
      <c r="C6" s="4"/>
      <c r="D6" s="4"/>
      <c r="E6" s="4"/>
      <c r="F6" s="4"/>
      <c r="G6" s="4"/>
      <c r="H6" s="4"/>
      <c r="I6" s="4"/>
      <c r="J6" s="4"/>
      <c r="K6" s="4"/>
      <c r="L6" s="16"/>
      <c r="N6" s="75"/>
      <c r="O6" s="75"/>
      <c r="P6" s="75"/>
      <c r="Q6" s="75"/>
      <c r="R6" s="75"/>
    </row>
    <row r="7" spans="1:18" s="35" customFormat="1" ht="18" customHeight="1" thickBot="1" x14ac:dyDescent="0.35">
      <c r="A7" s="9"/>
      <c r="B7" s="9" t="s">
        <v>12</v>
      </c>
      <c r="C7" s="9"/>
      <c r="D7" s="9"/>
      <c r="E7" s="8"/>
      <c r="F7" s="8"/>
      <c r="G7" s="8"/>
      <c r="H7" s="8"/>
      <c r="I7" s="8"/>
      <c r="J7" s="8"/>
      <c r="K7" s="8"/>
      <c r="L7" s="10"/>
      <c r="N7" s="75"/>
      <c r="O7" s="75"/>
      <c r="P7" s="75"/>
      <c r="Q7" s="75"/>
      <c r="R7" s="75"/>
    </row>
    <row r="8" spans="1:18" s="34" customFormat="1" ht="15.75" thickTop="1" x14ac:dyDescent="0.25">
      <c r="A8" s="4"/>
      <c r="B8" s="4"/>
      <c r="C8" s="4"/>
      <c r="D8" s="4"/>
      <c r="E8" s="4"/>
      <c r="F8" s="4"/>
      <c r="G8" s="4"/>
      <c r="H8" s="4"/>
      <c r="I8" s="4"/>
      <c r="J8" s="4"/>
      <c r="K8" s="4"/>
      <c r="L8" s="16"/>
      <c r="N8" s="75" t="s">
        <v>49</v>
      </c>
      <c r="O8" s="75"/>
      <c r="P8" s="75"/>
      <c r="Q8" s="75"/>
      <c r="R8" s="75"/>
    </row>
    <row r="9" spans="1:18" ht="18.75" x14ac:dyDescent="0.3">
      <c r="A9" s="2"/>
      <c r="B9" s="17" t="s">
        <v>3</v>
      </c>
      <c r="C9" s="2"/>
      <c r="D9" s="2"/>
      <c r="E9" s="2"/>
      <c r="F9" s="2"/>
      <c r="G9" s="2"/>
      <c r="H9" s="17" t="s">
        <v>28</v>
      </c>
      <c r="I9" s="2"/>
      <c r="J9" s="2"/>
      <c r="K9" s="2"/>
      <c r="L9" s="20"/>
      <c r="N9" s="75"/>
      <c r="O9" s="75"/>
      <c r="P9" s="75"/>
      <c r="Q9" s="75"/>
      <c r="R9" s="75"/>
    </row>
    <row r="10" spans="1:18" x14ac:dyDescent="0.25">
      <c r="A10" s="2"/>
      <c r="B10" s="2"/>
      <c r="C10" s="2"/>
      <c r="D10" s="2"/>
      <c r="E10" s="2"/>
      <c r="F10" s="2"/>
      <c r="G10" s="2"/>
      <c r="H10" s="2"/>
      <c r="I10" s="2"/>
      <c r="J10" s="2"/>
      <c r="K10" s="2"/>
      <c r="L10" s="21"/>
      <c r="N10" s="76" t="s">
        <v>50</v>
      </c>
      <c r="O10" s="76"/>
      <c r="P10" s="76"/>
      <c r="Q10" s="76"/>
      <c r="R10" s="76"/>
    </row>
    <row r="11" spans="1:18" x14ac:dyDescent="0.25">
      <c r="A11" s="2"/>
      <c r="B11" s="18" t="s">
        <v>5</v>
      </c>
      <c r="C11" s="19" t="s">
        <v>4</v>
      </c>
      <c r="D11" s="19" t="s">
        <v>6</v>
      </c>
      <c r="E11" s="19" t="s">
        <v>11</v>
      </c>
      <c r="F11" s="2"/>
      <c r="G11" s="2"/>
      <c r="H11" s="2" t="s">
        <v>23</v>
      </c>
      <c r="I11" s="2"/>
      <c r="J11" s="2">
        <f>D16*12</f>
        <v>8946000</v>
      </c>
      <c r="K11" s="2"/>
      <c r="L11" s="21"/>
      <c r="N11" s="76"/>
      <c r="O11" s="76"/>
      <c r="P11" s="76"/>
      <c r="Q11" s="76"/>
      <c r="R11" s="76"/>
    </row>
    <row r="12" spans="1:18" ht="15.75" thickBot="1" x14ac:dyDescent="0.3">
      <c r="A12" s="2"/>
      <c r="B12" s="2" t="s">
        <v>7</v>
      </c>
      <c r="C12" s="3">
        <v>75</v>
      </c>
      <c r="D12" s="3">
        <v>1500</v>
      </c>
      <c r="E12" s="3">
        <v>450</v>
      </c>
      <c r="F12" s="2"/>
      <c r="G12" s="2"/>
      <c r="H12" s="2" t="s">
        <v>24</v>
      </c>
      <c r="I12" s="22">
        <v>0.25</v>
      </c>
      <c r="J12" s="23">
        <f>J11*I12</f>
        <v>2236500</v>
      </c>
      <c r="K12" s="2"/>
      <c r="L12" s="21"/>
    </row>
    <row r="13" spans="1:18" ht="15.75" thickTop="1" x14ac:dyDescent="0.25">
      <c r="A13" s="2"/>
      <c r="B13" s="2" t="s">
        <v>8</v>
      </c>
      <c r="C13" s="3">
        <v>150</v>
      </c>
      <c r="D13" s="3">
        <v>1800</v>
      </c>
      <c r="E13" s="3">
        <v>550</v>
      </c>
      <c r="F13" s="4"/>
      <c r="G13" s="2"/>
      <c r="H13" s="18" t="s">
        <v>25</v>
      </c>
      <c r="I13" s="18"/>
      <c r="J13" s="18">
        <f>J11-J12</f>
        <v>6709500</v>
      </c>
      <c r="L13" s="21"/>
    </row>
    <row r="14" spans="1:18" x14ac:dyDescent="0.25">
      <c r="A14" s="2"/>
      <c r="B14" s="2" t="s">
        <v>10</v>
      </c>
      <c r="C14" s="3">
        <v>120</v>
      </c>
      <c r="D14" s="3">
        <v>2400</v>
      </c>
      <c r="E14" s="3">
        <v>750</v>
      </c>
      <c r="F14" s="2"/>
      <c r="G14" s="2"/>
      <c r="H14" s="2"/>
      <c r="I14" s="2"/>
      <c r="J14" s="2"/>
      <c r="K14" s="2"/>
      <c r="L14" s="16"/>
    </row>
    <row r="15" spans="1:18" ht="15.75" thickBot="1" x14ac:dyDescent="0.3">
      <c r="A15" s="2"/>
      <c r="B15" s="2" t="s">
        <v>9</v>
      </c>
      <c r="C15" s="25">
        <v>25</v>
      </c>
      <c r="D15" s="25">
        <v>3000</v>
      </c>
      <c r="E15" s="25">
        <v>1000</v>
      </c>
      <c r="F15" s="2"/>
      <c r="G15" s="2"/>
      <c r="H15" s="2" t="s">
        <v>26</v>
      </c>
      <c r="I15" s="27">
        <f>J13/E32</f>
        <v>7.4266343825665854E-2</v>
      </c>
      <c r="J15" s="2"/>
      <c r="K15" s="2"/>
      <c r="L15" s="16"/>
    </row>
    <row r="16" spans="1:18" ht="15.75" thickTop="1" x14ac:dyDescent="0.25">
      <c r="A16" s="2"/>
      <c r="B16" s="2"/>
      <c r="C16" s="36">
        <f>SUM(C12:C15)</f>
        <v>370</v>
      </c>
      <c r="D16" s="36">
        <f>SUMPRODUCT(D12:D15,$C$12:$C$15)</f>
        <v>745500</v>
      </c>
      <c r="E16" s="36">
        <f>SUMPRODUCT(E12:E15,$C$12:$C$15)</f>
        <v>231250</v>
      </c>
      <c r="F16" s="2"/>
      <c r="G16" s="2"/>
      <c r="H16" s="2"/>
      <c r="I16" s="27"/>
      <c r="J16" s="2"/>
      <c r="K16" s="2"/>
      <c r="L16" s="16"/>
    </row>
    <row r="17" spans="1:12" x14ac:dyDescent="0.25">
      <c r="A17" s="2"/>
      <c r="B17" s="2"/>
      <c r="C17" s="2"/>
      <c r="D17" s="2"/>
      <c r="E17" s="2"/>
      <c r="F17" s="2"/>
      <c r="G17" s="2"/>
      <c r="H17" s="2"/>
      <c r="I17" s="2"/>
      <c r="J17" s="2"/>
      <c r="K17" s="2"/>
      <c r="L17" s="16"/>
    </row>
    <row r="18" spans="1:12" ht="18.75" x14ac:dyDescent="0.3">
      <c r="A18" s="2"/>
      <c r="B18" s="17" t="s">
        <v>2</v>
      </c>
      <c r="C18" s="2"/>
      <c r="D18" s="2"/>
      <c r="E18" s="2"/>
      <c r="F18" s="2"/>
      <c r="G18" s="2"/>
      <c r="H18" s="2" t="s">
        <v>27</v>
      </c>
      <c r="I18" s="3">
        <v>5</v>
      </c>
      <c r="J18" s="2" t="s">
        <v>22</v>
      </c>
      <c r="K18" s="2"/>
      <c r="L18" s="16"/>
    </row>
    <row r="19" spans="1:12" x14ac:dyDescent="0.25">
      <c r="A19" s="2"/>
      <c r="B19" s="2"/>
      <c r="C19" s="2"/>
      <c r="D19" s="2"/>
      <c r="E19" s="2"/>
      <c r="F19" s="2"/>
      <c r="G19" s="2"/>
      <c r="H19" s="18" t="s">
        <v>29</v>
      </c>
      <c r="I19" s="18"/>
      <c r="J19" s="18"/>
      <c r="K19" s="18">
        <f>I18*J13</f>
        <v>33547500</v>
      </c>
      <c r="L19" s="16"/>
    </row>
    <row r="20" spans="1:12" x14ac:dyDescent="0.25">
      <c r="A20" s="2"/>
      <c r="B20" s="18" t="s">
        <v>1</v>
      </c>
      <c r="C20" s="2"/>
      <c r="D20" s="2"/>
      <c r="E20" s="2"/>
      <c r="F20" s="2"/>
      <c r="G20" s="2"/>
      <c r="H20" s="2"/>
      <c r="I20" s="2"/>
      <c r="J20" s="2"/>
      <c r="K20" s="2"/>
      <c r="L20" s="16"/>
    </row>
    <row r="21" spans="1:12" x14ac:dyDescent="0.25">
      <c r="A21" s="2"/>
      <c r="B21" s="2" t="s">
        <v>0</v>
      </c>
      <c r="C21" s="2"/>
      <c r="D21" s="3">
        <v>25000000</v>
      </c>
      <c r="E21" s="3"/>
      <c r="F21" s="2"/>
      <c r="G21" s="2"/>
      <c r="H21" s="2"/>
      <c r="I21" s="2"/>
      <c r="J21" s="2"/>
      <c r="K21" s="2"/>
      <c r="L21" s="16"/>
    </row>
    <row r="22" spans="1:12" ht="19.5" thickBot="1" x14ac:dyDescent="0.35">
      <c r="A22" s="2"/>
      <c r="B22" s="2" t="str">
        <f>"+ Purchase Costs"</f>
        <v>+ Purchase Costs</v>
      </c>
      <c r="C22" s="22">
        <v>7.0000000000000007E-2</v>
      </c>
      <c r="D22" s="23">
        <f>D21*C22</f>
        <v>1750000.0000000002</v>
      </c>
      <c r="E22" s="5"/>
      <c r="F22" s="2"/>
      <c r="G22" s="2"/>
      <c r="H22" s="17" t="s">
        <v>34</v>
      </c>
      <c r="I22" s="2"/>
      <c r="J22" s="2"/>
      <c r="K22" s="2"/>
      <c r="L22" s="16"/>
    </row>
    <row r="23" spans="1:12" ht="15.75" thickTop="1" x14ac:dyDescent="0.25">
      <c r="A23" s="2"/>
      <c r="B23" s="18" t="s">
        <v>16</v>
      </c>
      <c r="C23" s="2"/>
      <c r="D23" s="2"/>
      <c r="E23" s="18">
        <f>SUM(D21:D22)</f>
        <v>26750000</v>
      </c>
      <c r="F23" s="2"/>
      <c r="G23" s="2"/>
      <c r="H23" s="2"/>
      <c r="I23" s="2"/>
      <c r="J23" s="2"/>
      <c r="K23" s="2"/>
      <c r="L23" s="16"/>
    </row>
    <row r="24" spans="1:12" x14ac:dyDescent="0.25">
      <c r="A24" s="2"/>
      <c r="B24" s="2"/>
      <c r="C24" s="2"/>
      <c r="D24" s="2"/>
      <c r="E24" s="18"/>
      <c r="F24" s="2"/>
      <c r="G24" s="2"/>
      <c r="H24" s="2" t="s">
        <v>25</v>
      </c>
      <c r="I24" s="2">
        <f>J13</f>
        <v>6709500</v>
      </c>
      <c r="J24" s="2"/>
      <c r="K24" s="2"/>
      <c r="L24" s="16"/>
    </row>
    <row r="25" spans="1:12" x14ac:dyDescent="0.25">
      <c r="A25" s="2"/>
      <c r="B25" s="18" t="s">
        <v>13</v>
      </c>
      <c r="C25" s="2"/>
      <c r="D25" s="2"/>
      <c r="E25" s="2"/>
      <c r="F25" s="2"/>
      <c r="G25" s="2"/>
      <c r="H25" s="2" t="s">
        <v>30</v>
      </c>
      <c r="I25" s="22">
        <v>5.5E-2</v>
      </c>
      <c r="J25" s="2"/>
      <c r="K25" s="2"/>
      <c r="L25" s="16"/>
    </row>
    <row r="26" spans="1:12" x14ac:dyDescent="0.25">
      <c r="A26" s="2"/>
      <c r="B26" s="2" t="s">
        <v>14</v>
      </c>
      <c r="C26" s="2"/>
      <c r="D26" s="24">
        <f>SUMPRODUCT(E12:E15,C12:C15)</f>
        <v>231250</v>
      </c>
      <c r="E26" s="2"/>
      <c r="F26" s="2"/>
      <c r="G26" s="2"/>
      <c r="H26" s="2" t="s">
        <v>31</v>
      </c>
      <c r="I26" s="2"/>
      <c r="J26" s="2">
        <f>I24/I25</f>
        <v>121990909.09090909</v>
      </c>
      <c r="K26" s="2"/>
      <c r="L26" s="16"/>
    </row>
    <row r="27" spans="1:12" ht="15.75" thickBot="1" x14ac:dyDescent="0.3">
      <c r="A27" s="2"/>
      <c r="B27" s="2" t="s">
        <v>15</v>
      </c>
      <c r="C27" s="2"/>
      <c r="D27" s="25">
        <v>275</v>
      </c>
      <c r="E27" s="2"/>
      <c r="F27" s="2"/>
      <c r="G27" s="2"/>
      <c r="H27" s="2" t="str">
        <f>"- sales costs"</f>
        <v>- sales costs</v>
      </c>
      <c r="I27" s="22">
        <v>0.02</v>
      </c>
      <c r="J27" s="6">
        <f>J26*I27</f>
        <v>2439818.1818181821</v>
      </c>
      <c r="K27" s="2"/>
      <c r="L27" s="16"/>
    </row>
    <row r="28" spans="1:12" ht="16.5" thickTop="1" thickBot="1" x14ac:dyDescent="0.3">
      <c r="A28" s="2"/>
      <c r="B28" s="18" t="s">
        <v>17</v>
      </c>
      <c r="C28" s="2"/>
      <c r="D28" s="2"/>
      <c r="E28" s="26">
        <f>D26*D27</f>
        <v>63593750</v>
      </c>
      <c r="F28" s="2"/>
      <c r="G28" s="2"/>
      <c r="H28" s="18" t="s">
        <v>32</v>
      </c>
      <c r="I28" s="18"/>
      <c r="J28" s="18"/>
      <c r="K28" s="32">
        <f>J26-J27</f>
        <v>119551090.90909091</v>
      </c>
      <c r="L28" s="16"/>
    </row>
    <row r="29" spans="1:12" ht="15.75" thickTop="1" x14ac:dyDescent="0.25">
      <c r="A29" s="2"/>
      <c r="B29" s="2"/>
      <c r="C29" s="2"/>
      <c r="D29" s="2"/>
      <c r="E29" s="2"/>
      <c r="F29" s="2"/>
      <c r="G29" s="2"/>
      <c r="H29" s="2"/>
      <c r="I29" s="2"/>
      <c r="J29" s="2"/>
      <c r="K29" s="2"/>
      <c r="L29" s="16"/>
    </row>
    <row r="30" spans="1:12" x14ac:dyDescent="0.25">
      <c r="A30" s="2"/>
      <c r="B30" s="2" t="s">
        <v>21</v>
      </c>
      <c r="C30" s="3">
        <v>2</v>
      </c>
      <c r="D30" s="2" t="s">
        <v>22</v>
      </c>
      <c r="E30" s="2"/>
      <c r="F30" s="2"/>
      <c r="G30" s="2"/>
      <c r="H30" s="2"/>
      <c r="I30" s="2"/>
      <c r="J30" s="2"/>
      <c r="K30" s="2"/>
      <c r="L30" s="16"/>
    </row>
    <row r="31" spans="1:12" x14ac:dyDescent="0.25">
      <c r="A31" s="2"/>
      <c r="B31" s="2"/>
      <c r="C31" s="2"/>
      <c r="D31" s="2"/>
      <c r="E31" s="2"/>
      <c r="F31" s="2"/>
      <c r="G31" s="2"/>
      <c r="H31" s="2"/>
      <c r="I31" s="2"/>
      <c r="J31" s="2"/>
      <c r="K31" s="2"/>
      <c r="L31" s="16"/>
    </row>
    <row r="32" spans="1:12" ht="15.75" thickBot="1" x14ac:dyDescent="0.3">
      <c r="A32" s="2"/>
      <c r="B32" s="37" t="s">
        <v>42</v>
      </c>
      <c r="C32" s="37"/>
      <c r="D32" s="37"/>
      <c r="E32" s="37">
        <f>E23+E28</f>
        <v>90343750</v>
      </c>
      <c r="F32" s="38"/>
      <c r="G32" s="38"/>
      <c r="H32" s="37" t="s">
        <v>43</v>
      </c>
      <c r="I32" s="37"/>
      <c r="J32" s="37"/>
      <c r="K32" s="37">
        <f>K19+K28</f>
        <v>153098590.90909091</v>
      </c>
      <c r="L32" s="16"/>
    </row>
    <row r="33" spans="1:14" ht="16.5" thickTop="1" thickBot="1" x14ac:dyDescent="0.3">
      <c r="A33" s="6"/>
      <c r="B33" s="26"/>
      <c r="C33" s="26"/>
      <c r="D33" s="26"/>
      <c r="E33" s="26"/>
      <c r="F33" s="6"/>
      <c r="G33" s="6"/>
      <c r="H33" s="6"/>
      <c r="I33" s="6"/>
      <c r="J33" s="6"/>
      <c r="K33" s="6"/>
      <c r="L33" s="33"/>
    </row>
    <row r="34" spans="1:14" ht="15.75" thickTop="1" x14ac:dyDescent="0.25">
      <c r="A34" s="2"/>
      <c r="B34" s="2"/>
      <c r="C34" s="2"/>
      <c r="D34" s="2"/>
      <c r="E34" s="2"/>
      <c r="F34" s="2"/>
      <c r="G34" s="2"/>
      <c r="H34" s="2"/>
      <c r="I34" s="2"/>
      <c r="J34" s="2"/>
      <c r="K34" s="2"/>
      <c r="L34" s="16"/>
    </row>
    <row r="35" spans="1:14" ht="18.75" x14ac:dyDescent="0.3">
      <c r="A35" s="2"/>
      <c r="B35" s="2"/>
      <c r="C35" s="2"/>
      <c r="D35" s="2"/>
      <c r="E35" s="17" t="s">
        <v>35</v>
      </c>
      <c r="F35" s="2"/>
      <c r="G35" s="2"/>
      <c r="H35" s="2"/>
      <c r="I35" s="2"/>
      <c r="J35" s="2"/>
      <c r="K35" s="2"/>
      <c r="L35" s="16"/>
    </row>
    <row r="36" spans="1:14" x14ac:dyDescent="0.25">
      <c r="A36" s="2"/>
      <c r="B36" s="2"/>
      <c r="C36" s="2"/>
      <c r="D36" s="2"/>
      <c r="E36" s="2"/>
      <c r="F36" s="2"/>
      <c r="G36" s="2"/>
      <c r="H36" s="2"/>
      <c r="I36" s="2"/>
      <c r="J36" s="2"/>
      <c r="K36" s="2"/>
      <c r="L36" s="16"/>
    </row>
    <row r="37" spans="1:14" x14ac:dyDescent="0.25">
      <c r="A37" s="2"/>
      <c r="B37" s="2"/>
      <c r="C37" s="2"/>
      <c r="D37" s="2"/>
      <c r="E37" s="18" t="s">
        <v>33</v>
      </c>
      <c r="F37" s="2"/>
      <c r="G37" s="18">
        <f>K32-E32</f>
        <v>62754840.909090906</v>
      </c>
      <c r="H37" s="2"/>
      <c r="I37" s="2"/>
      <c r="J37" s="2"/>
      <c r="K37" s="2"/>
      <c r="L37" s="16"/>
    </row>
    <row r="38" spans="1:14" x14ac:dyDescent="0.25">
      <c r="A38" s="2"/>
      <c r="B38" s="2"/>
      <c r="C38" s="2"/>
      <c r="D38" s="2"/>
      <c r="E38" s="2" t="s">
        <v>36</v>
      </c>
      <c r="F38" s="2"/>
      <c r="G38" s="28">
        <f>G37/E32</f>
        <v>0.6946229363856482</v>
      </c>
      <c r="H38" s="2"/>
      <c r="I38" s="2"/>
      <c r="J38" s="2"/>
      <c r="K38" s="2"/>
      <c r="L38" s="16"/>
    </row>
    <row r="39" spans="1:14" x14ac:dyDescent="0.25">
      <c r="A39" s="2"/>
      <c r="B39" s="2"/>
      <c r="C39" s="2"/>
      <c r="D39" s="2"/>
      <c r="E39" s="2" t="s">
        <v>41</v>
      </c>
      <c r="F39" s="2"/>
      <c r="G39" s="27">
        <f>IRR(C49:L49)</f>
        <v>0.10765486051053053</v>
      </c>
      <c r="H39" s="2"/>
      <c r="I39" s="2"/>
      <c r="J39" s="2"/>
      <c r="K39" s="2"/>
      <c r="L39" s="16"/>
    </row>
    <row r="40" spans="1:14" x14ac:dyDescent="0.25">
      <c r="A40" s="2"/>
      <c r="B40" s="2"/>
      <c r="C40" s="2"/>
      <c r="D40" s="2"/>
      <c r="E40" s="2"/>
      <c r="F40" s="2"/>
      <c r="G40" s="2"/>
      <c r="H40" s="2"/>
      <c r="I40" s="2"/>
      <c r="J40" s="2"/>
      <c r="K40" s="2"/>
      <c r="L40" s="16"/>
    </row>
    <row r="41" spans="1:14" ht="19.5" thickBot="1" x14ac:dyDescent="0.35">
      <c r="A41" s="9"/>
      <c r="B41" s="9" t="s">
        <v>18</v>
      </c>
      <c r="C41" s="9"/>
      <c r="D41" s="9"/>
      <c r="E41" s="8"/>
      <c r="F41" s="8"/>
      <c r="G41" s="8"/>
      <c r="H41" s="8"/>
      <c r="I41" s="8"/>
      <c r="J41" s="8"/>
      <c r="K41" s="8"/>
      <c r="L41" s="8"/>
    </row>
    <row r="42" spans="1:14" ht="15.75" thickTop="1" x14ac:dyDescent="0.25">
      <c r="A42" s="2"/>
      <c r="B42" s="2"/>
      <c r="C42" s="2"/>
      <c r="D42" s="2"/>
      <c r="E42" s="2"/>
      <c r="F42" s="2"/>
      <c r="G42" s="2"/>
      <c r="H42" s="2"/>
      <c r="I42" s="2"/>
      <c r="J42" s="2"/>
      <c r="K42" s="2"/>
      <c r="L42" s="40"/>
    </row>
    <row r="43" spans="1:14" x14ac:dyDescent="0.25">
      <c r="A43" s="11"/>
      <c r="B43" s="14" t="s">
        <v>19</v>
      </c>
      <c r="C43" s="14">
        <v>1</v>
      </c>
      <c r="D43" s="14">
        <v>2</v>
      </c>
      <c r="E43" s="14">
        <v>3</v>
      </c>
      <c r="F43" s="14">
        <v>4</v>
      </c>
      <c r="G43" s="14">
        <v>5</v>
      </c>
      <c r="H43" s="14">
        <v>6</v>
      </c>
      <c r="I43" s="14">
        <v>7</v>
      </c>
      <c r="J43" s="14">
        <v>8</v>
      </c>
      <c r="K43" s="14">
        <v>9</v>
      </c>
      <c r="L43" s="41">
        <v>10</v>
      </c>
      <c r="M43" s="4"/>
      <c r="N43" s="39"/>
    </row>
    <row r="44" spans="1:14" x14ac:dyDescent="0.25">
      <c r="A44" s="12"/>
      <c r="B44" s="13" t="s">
        <v>40</v>
      </c>
      <c r="C44" s="11"/>
      <c r="D44" s="11"/>
      <c r="E44" s="11"/>
      <c r="F44" s="11"/>
      <c r="G44" s="11"/>
      <c r="H44" s="11"/>
      <c r="I44" s="11"/>
      <c r="J44" s="11"/>
      <c r="K44" s="11"/>
      <c r="L44" s="12"/>
      <c r="M44" s="4"/>
      <c r="N44" s="39"/>
    </row>
    <row r="45" spans="1:14" x14ac:dyDescent="0.25">
      <c r="A45" s="16" t="s">
        <v>20</v>
      </c>
      <c r="B45" s="29">
        <f>SUM(C45:L45)</f>
        <v>-26750000</v>
      </c>
      <c r="C45" s="2">
        <f>-E23</f>
        <v>-26750000</v>
      </c>
      <c r="D45" s="2"/>
      <c r="E45" s="2"/>
      <c r="F45" s="2"/>
      <c r="G45" s="2"/>
      <c r="H45" s="2"/>
      <c r="I45" s="2"/>
      <c r="J45" s="2"/>
      <c r="K45" s="2"/>
      <c r="L45" s="16"/>
      <c r="M45" s="4"/>
      <c r="N45" s="39"/>
    </row>
    <row r="46" spans="1:14" x14ac:dyDescent="0.25">
      <c r="A46" s="16" t="s">
        <v>37</v>
      </c>
      <c r="B46" s="29">
        <f t="shared" ref="B46:B48" si="0">SUM(C46:L46)</f>
        <v>-63593750</v>
      </c>
      <c r="C46" s="2">
        <f t="shared" ref="C46:L46" si="1">(C43&lt;=$C$30)*-($E$28/$C$30)</f>
        <v>-31796875</v>
      </c>
      <c r="D46" s="2">
        <f t="shared" si="1"/>
        <v>-31796875</v>
      </c>
      <c r="E46" s="2">
        <f t="shared" si="1"/>
        <v>0</v>
      </c>
      <c r="F46" s="2">
        <f t="shared" si="1"/>
        <v>0</v>
      </c>
      <c r="G46" s="2">
        <f t="shared" si="1"/>
        <v>0</v>
      </c>
      <c r="H46" s="2">
        <f t="shared" si="1"/>
        <v>0</v>
      </c>
      <c r="I46" s="2">
        <f t="shared" si="1"/>
        <v>0</v>
      </c>
      <c r="J46" s="2">
        <f t="shared" si="1"/>
        <v>0</v>
      </c>
      <c r="K46" s="2">
        <f t="shared" si="1"/>
        <v>0</v>
      </c>
      <c r="L46" s="16">
        <f t="shared" si="1"/>
        <v>0</v>
      </c>
      <c r="M46" s="4"/>
      <c r="N46" s="39"/>
    </row>
    <row r="47" spans="1:14" x14ac:dyDescent="0.25">
      <c r="A47" s="16" t="s">
        <v>38</v>
      </c>
      <c r="B47" s="29">
        <f t="shared" si="0"/>
        <v>33547500</v>
      </c>
      <c r="C47" s="2">
        <f t="shared" ref="C47:L47" si="2">IF(AND(C43&gt;$C$30,C43&lt;=$C$30+$I$18),$J$13,0)</f>
        <v>0</v>
      </c>
      <c r="D47" s="2">
        <f t="shared" si="2"/>
        <v>0</v>
      </c>
      <c r="E47" s="2">
        <f t="shared" si="2"/>
        <v>6709500</v>
      </c>
      <c r="F47" s="2">
        <f t="shared" si="2"/>
        <v>6709500</v>
      </c>
      <c r="G47" s="2">
        <f t="shared" si="2"/>
        <v>6709500</v>
      </c>
      <c r="H47" s="2">
        <f t="shared" si="2"/>
        <v>6709500</v>
      </c>
      <c r="I47" s="2">
        <f t="shared" si="2"/>
        <v>6709500</v>
      </c>
      <c r="J47" s="2">
        <f t="shared" si="2"/>
        <v>0</v>
      </c>
      <c r="K47" s="2">
        <f t="shared" si="2"/>
        <v>0</v>
      </c>
      <c r="L47" s="16">
        <f t="shared" si="2"/>
        <v>0</v>
      </c>
      <c r="M47" s="4"/>
      <c r="N47" s="39"/>
    </row>
    <row r="48" spans="1:14" x14ac:dyDescent="0.25">
      <c r="A48" s="16" t="s">
        <v>39</v>
      </c>
      <c r="B48" s="29">
        <f t="shared" si="0"/>
        <v>119551090.90909091</v>
      </c>
      <c r="C48" s="2">
        <f t="shared" ref="C48:L48" si="3">(C43=$C$30+$I$18)*$K$28</f>
        <v>0</v>
      </c>
      <c r="D48" s="2">
        <f t="shared" si="3"/>
        <v>0</v>
      </c>
      <c r="E48" s="2">
        <f t="shared" si="3"/>
        <v>0</v>
      </c>
      <c r="F48" s="2">
        <f t="shared" si="3"/>
        <v>0</v>
      </c>
      <c r="G48" s="2">
        <f t="shared" si="3"/>
        <v>0</v>
      </c>
      <c r="H48" s="2">
        <f t="shared" si="3"/>
        <v>0</v>
      </c>
      <c r="I48" s="2">
        <f t="shared" si="3"/>
        <v>119551090.90909091</v>
      </c>
      <c r="J48" s="2">
        <f t="shared" si="3"/>
        <v>0</v>
      </c>
      <c r="K48" s="2">
        <f t="shared" si="3"/>
        <v>0</v>
      </c>
      <c r="L48" s="16">
        <f t="shared" si="3"/>
        <v>0</v>
      </c>
      <c r="M48" s="4"/>
      <c r="N48" s="39"/>
    </row>
    <row r="49" spans="1:14" x14ac:dyDescent="0.25">
      <c r="A49" s="12" t="s">
        <v>33</v>
      </c>
      <c r="B49" s="15">
        <f t="shared" ref="B49:L49" si="4">SUM(B45:B48)</f>
        <v>62754840.909090906</v>
      </c>
      <c r="C49" s="11">
        <f t="shared" si="4"/>
        <v>-58546875</v>
      </c>
      <c r="D49" s="11">
        <f t="shared" si="4"/>
        <v>-31796875</v>
      </c>
      <c r="E49" s="11">
        <f t="shared" si="4"/>
        <v>6709500</v>
      </c>
      <c r="F49" s="11">
        <f t="shared" si="4"/>
        <v>6709500</v>
      </c>
      <c r="G49" s="11">
        <f t="shared" si="4"/>
        <v>6709500</v>
      </c>
      <c r="H49" s="11">
        <f t="shared" si="4"/>
        <v>6709500</v>
      </c>
      <c r="I49" s="11">
        <f t="shared" si="4"/>
        <v>126260590.90909091</v>
      </c>
      <c r="J49" s="11">
        <f t="shared" si="4"/>
        <v>0</v>
      </c>
      <c r="K49" s="11">
        <f t="shared" si="4"/>
        <v>0</v>
      </c>
      <c r="L49" s="12">
        <f t="shared" si="4"/>
        <v>0</v>
      </c>
      <c r="M49" s="4"/>
      <c r="N49" s="39"/>
    </row>
    <row r="50" spans="1:14" x14ac:dyDescent="0.25">
      <c r="A50" s="30"/>
      <c r="B50" s="30"/>
      <c r="C50" s="30"/>
      <c r="D50" s="30"/>
      <c r="E50" s="30"/>
      <c r="F50" s="30"/>
      <c r="G50" s="30"/>
      <c r="H50" s="30"/>
      <c r="I50" s="30"/>
      <c r="J50" s="30"/>
      <c r="K50" s="30"/>
      <c r="L50" s="31"/>
      <c r="M50" s="4"/>
      <c r="N50" s="39"/>
    </row>
    <row r="51" spans="1:14" x14ac:dyDescent="0.25">
      <c r="M51" s="39"/>
      <c r="N51" s="39"/>
    </row>
  </sheetData>
  <mergeCells count="4">
    <mergeCell ref="N10:R11"/>
    <mergeCell ref="N2:R2"/>
    <mergeCell ref="N3:R7"/>
    <mergeCell ref="N8:R9"/>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6A67F-EC9E-4F6C-8248-8E30B680ABC3}">
  <dimension ref="A1:T51"/>
  <sheetViews>
    <sheetView zoomScale="85" zoomScaleNormal="85" workbookViewId="0">
      <selection activeCell="V24" sqref="V24"/>
    </sheetView>
  </sheetViews>
  <sheetFormatPr defaultRowHeight="15" x14ac:dyDescent="0.25"/>
  <cols>
    <col min="1" max="1" width="14.5703125" style="1" bestFit="1" customWidth="1"/>
    <col min="2" max="2" width="19.5703125" style="1" customWidth="1"/>
    <col min="3" max="3" width="15.140625" style="1" customWidth="1"/>
    <col min="4" max="4" width="15.5703125" style="1" customWidth="1"/>
    <col min="5" max="5" width="16.85546875" style="1" customWidth="1"/>
    <col min="6" max="7" width="14.7109375" style="1" customWidth="1"/>
    <col min="8" max="8" width="19.85546875" style="1" customWidth="1"/>
    <col min="9" max="9" width="15.5703125" style="1" customWidth="1"/>
    <col min="10" max="10" width="16.5703125" style="1" customWidth="1"/>
    <col min="11" max="11" width="15.42578125" style="1" customWidth="1"/>
    <col min="12" max="12" width="13.85546875" style="1" customWidth="1"/>
    <col min="13" max="13" width="7" style="1" customWidth="1"/>
    <col min="14" max="20" width="10.140625" style="1" customWidth="1"/>
    <col min="21" max="16384" width="9.140625" style="1"/>
  </cols>
  <sheetData>
    <row r="1" spans="1:20" s="34" customFormat="1" x14ac:dyDescent="0.25">
      <c r="A1" s="4"/>
      <c r="B1" s="4"/>
      <c r="C1" s="4"/>
      <c r="D1" s="4"/>
      <c r="E1" s="4"/>
      <c r="F1" s="4"/>
      <c r="G1" s="4"/>
      <c r="H1" s="4"/>
      <c r="I1" s="4"/>
      <c r="J1" s="4"/>
      <c r="K1" s="4"/>
      <c r="L1" s="16"/>
    </row>
    <row r="2" spans="1:20" s="34" customFormat="1" ht="15" customHeight="1" x14ac:dyDescent="0.25">
      <c r="A2" s="4"/>
      <c r="B2" s="4"/>
      <c r="C2" s="4"/>
      <c r="D2" s="4"/>
      <c r="E2" s="4"/>
      <c r="F2" s="7"/>
      <c r="G2" s="4"/>
      <c r="H2" s="4"/>
      <c r="I2" s="4"/>
      <c r="J2" s="4"/>
      <c r="K2" s="4"/>
      <c r="L2" s="16"/>
      <c r="N2" s="75" t="s">
        <v>52</v>
      </c>
      <c r="O2" s="75"/>
      <c r="P2" s="75"/>
      <c r="Q2" s="75"/>
      <c r="R2" s="75"/>
      <c r="S2" s="75"/>
      <c r="T2" s="75"/>
    </row>
    <row r="3" spans="1:20" s="34" customFormat="1" x14ac:dyDescent="0.25">
      <c r="A3" s="4"/>
      <c r="B3" s="4"/>
      <c r="C3" s="4"/>
      <c r="D3" s="4"/>
      <c r="E3" s="4"/>
      <c r="F3" s="5"/>
      <c r="G3" s="4"/>
      <c r="H3" s="4"/>
      <c r="I3" s="4"/>
      <c r="J3" s="4"/>
      <c r="K3" s="4"/>
      <c r="L3" s="16"/>
      <c r="N3" s="75"/>
      <c r="O3" s="75"/>
      <c r="P3" s="75"/>
      <c r="Q3" s="75"/>
      <c r="R3" s="75"/>
      <c r="S3" s="75"/>
      <c r="T3" s="75"/>
    </row>
    <row r="4" spans="1:20" s="34" customFormat="1" ht="15" customHeight="1" x14ac:dyDescent="0.25">
      <c r="A4" s="4"/>
      <c r="B4" s="4"/>
      <c r="C4" s="4"/>
      <c r="D4" s="4"/>
      <c r="E4" s="4"/>
      <c r="F4" s="4"/>
      <c r="G4" s="4"/>
      <c r="H4" s="4"/>
      <c r="I4" s="4"/>
      <c r="J4" s="4"/>
      <c r="K4" s="4"/>
      <c r="L4" s="16"/>
      <c r="N4" s="75"/>
      <c r="O4" s="75"/>
      <c r="P4" s="75"/>
      <c r="Q4" s="75"/>
      <c r="R4" s="75"/>
      <c r="S4" s="75"/>
      <c r="T4" s="75"/>
    </row>
    <row r="5" spans="1:20" s="34" customFormat="1" x14ac:dyDescent="0.25">
      <c r="A5" s="4"/>
      <c r="B5" s="4"/>
      <c r="C5" s="4"/>
      <c r="D5" s="4"/>
      <c r="E5" s="4"/>
      <c r="F5" s="4"/>
      <c r="G5" s="4"/>
      <c r="H5" s="4"/>
      <c r="I5" s="4"/>
      <c r="J5" s="4"/>
      <c r="K5" s="4"/>
      <c r="L5" s="16"/>
      <c r="N5" s="75"/>
      <c r="O5" s="75"/>
      <c r="P5" s="75"/>
      <c r="Q5" s="75"/>
      <c r="R5" s="75"/>
      <c r="S5" s="75"/>
      <c r="T5" s="75"/>
    </row>
    <row r="6" spans="1:20" s="34" customFormat="1" ht="14.25" customHeight="1" x14ac:dyDescent="0.25">
      <c r="A6" s="4"/>
      <c r="B6" s="4"/>
      <c r="C6" s="4"/>
      <c r="D6" s="4"/>
      <c r="E6" s="4"/>
      <c r="F6" s="4"/>
      <c r="G6" s="4"/>
      <c r="H6" s="4"/>
      <c r="I6" s="4"/>
      <c r="J6" s="4"/>
      <c r="K6" s="4"/>
      <c r="L6" s="16"/>
      <c r="N6" s="75" t="s">
        <v>53</v>
      </c>
      <c r="O6" s="75"/>
      <c r="P6" s="75"/>
      <c r="Q6" s="75"/>
      <c r="R6" s="75"/>
      <c r="S6" s="75"/>
      <c r="T6" s="75"/>
    </row>
    <row r="7" spans="1:20" s="35" customFormat="1" ht="17.25" customHeight="1" thickBot="1" x14ac:dyDescent="0.35">
      <c r="A7" s="9"/>
      <c r="B7" s="9" t="s">
        <v>12</v>
      </c>
      <c r="C7" s="9"/>
      <c r="D7" s="9"/>
      <c r="E7" s="8"/>
      <c r="F7" s="8"/>
      <c r="G7" s="8"/>
      <c r="H7" s="8"/>
      <c r="I7" s="8"/>
      <c r="J7" s="8"/>
      <c r="K7" s="8"/>
      <c r="L7" s="10"/>
      <c r="N7" s="75"/>
      <c r="O7" s="75"/>
      <c r="P7" s="75"/>
      <c r="Q7" s="75"/>
      <c r="R7" s="75"/>
      <c r="S7" s="75"/>
      <c r="T7" s="75"/>
    </row>
    <row r="8" spans="1:20" s="34" customFormat="1" ht="15.75" thickTop="1" x14ac:dyDescent="0.25">
      <c r="A8" s="4"/>
      <c r="B8" s="4"/>
      <c r="C8" s="4"/>
      <c r="D8" s="4"/>
      <c r="E8" s="4"/>
      <c r="F8" s="4"/>
      <c r="G8" s="4"/>
      <c r="H8" s="4"/>
      <c r="I8" s="4"/>
      <c r="J8" s="4"/>
      <c r="K8" s="4"/>
      <c r="L8" s="16"/>
      <c r="N8" s="75"/>
      <c r="O8" s="75"/>
      <c r="P8" s="75"/>
      <c r="Q8" s="75"/>
      <c r="R8" s="75"/>
      <c r="S8" s="75"/>
      <c r="T8" s="75"/>
    </row>
    <row r="9" spans="1:20" ht="18.75" customHeight="1" x14ac:dyDescent="0.3">
      <c r="A9" s="2"/>
      <c r="B9" s="17" t="s">
        <v>3</v>
      </c>
      <c r="C9" s="2"/>
      <c r="D9" s="2"/>
      <c r="E9" s="2"/>
      <c r="F9" s="2"/>
      <c r="G9" s="2"/>
      <c r="H9" s="17" t="s">
        <v>28</v>
      </c>
      <c r="I9" s="2"/>
      <c r="J9" s="2"/>
      <c r="K9" s="2"/>
      <c r="L9" s="20"/>
      <c r="N9" s="75" t="s">
        <v>54</v>
      </c>
      <c r="O9" s="75"/>
      <c r="P9" s="75"/>
      <c r="Q9" s="75"/>
      <c r="R9" s="75"/>
      <c r="S9" s="75"/>
      <c r="T9" s="75"/>
    </row>
    <row r="10" spans="1:20" x14ac:dyDescent="0.25">
      <c r="A10" s="2"/>
      <c r="B10" s="2"/>
      <c r="C10" s="2"/>
      <c r="D10" s="2"/>
      <c r="E10" s="2"/>
      <c r="F10" s="2"/>
      <c r="G10" s="2"/>
      <c r="H10" s="2"/>
      <c r="I10" s="2"/>
      <c r="J10" s="2"/>
      <c r="K10" s="2"/>
      <c r="L10" s="21"/>
      <c r="N10" s="75"/>
      <c r="O10" s="75"/>
      <c r="P10" s="75"/>
      <c r="Q10" s="75"/>
      <c r="R10" s="75"/>
      <c r="S10" s="75"/>
      <c r="T10" s="75"/>
    </row>
    <row r="11" spans="1:20" x14ac:dyDescent="0.25">
      <c r="A11" s="2"/>
      <c r="B11" s="18" t="s">
        <v>5</v>
      </c>
      <c r="C11" s="19" t="s">
        <v>4</v>
      </c>
      <c r="D11" s="19" t="s">
        <v>6</v>
      </c>
      <c r="E11" s="19" t="s">
        <v>11</v>
      </c>
      <c r="F11" s="2"/>
      <c r="G11" s="2"/>
      <c r="H11" s="2" t="s">
        <v>23</v>
      </c>
      <c r="I11" s="2"/>
      <c r="J11" s="2">
        <f>D16*12</f>
        <v>8946000</v>
      </c>
      <c r="K11" s="2"/>
      <c r="L11" s="21"/>
      <c r="N11" s="75"/>
      <c r="O11" s="75"/>
      <c r="P11" s="75"/>
      <c r="Q11" s="75"/>
      <c r="R11" s="75"/>
      <c r="S11" s="75"/>
      <c r="T11" s="75"/>
    </row>
    <row r="12" spans="1:20" ht="15.75" customHeight="1" thickBot="1" x14ac:dyDescent="0.3">
      <c r="A12" s="2"/>
      <c r="B12" s="2" t="s">
        <v>7</v>
      </c>
      <c r="C12" s="3">
        <v>75</v>
      </c>
      <c r="D12" s="3">
        <v>1500</v>
      </c>
      <c r="E12" s="3">
        <v>450</v>
      </c>
      <c r="F12" s="2"/>
      <c r="G12" s="2"/>
      <c r="H12" s="2" t="s">
        <v>24</v>
      </c>
      <c r="I12" s="22">
        <v>0.25</v>
      </c>
      <c r="J12" s="23">
        <f>J11*I12</f>
        <v>2236500</v>
      </c>
      <c r="K12" s="2"/>
      <c r="L12" s="21"/>
      <c r="N12" s="75" t="s">
        <v>55</v>
      </c>
      <c r="O12" s="75"/>
      <c r="P12" s="75"/>
      <c r="Q12" s="75"/>
      <c r="R12" s="75"/>
      <c r="S12" s="75"/>
      <c r="T12" s="75"/>
    </row>
    <row r="13" spans="1:20" ht="15.75" thickTop="1" x14ac:dyDescent="0.25">
      <c r="A13" s="2"/>
      <c r="B13" s="2" t="s">
        <v>8</v>
      </c>
      <c r="C13" s="3">
        <v>150</v>
      </c>
      <c r="D13" s="3">
        <v>1800</v>
      </c>
      <c r="E13" s="3">
        <v>550</v>
      </c>
      <c r="F13" s="4"/>
      <c r="G13" s="2"/>
      <c r="H13" s="18" t="s">
        <v>25</v>
      </c>
      <c r="I13" s="18"/>
      <c r="J13" s="18">
        <f>J11-J12</f>
        <v>6709500</v>
      </c>
      <c r="L13" s="21"/>
      <c r="N13" s="75"/>
      <c r="O13" s="75"/>
      <c r="P13" s="75"/>
      <c r="Q13" s="75"/>
      <c r="R13" s="75"/>
      <c r="S13" s="75"/>
      <c r="T13" s="75"/>
    </row>
    <row r="14" spans="1:20" x14ac:dyDescent="0.25">
      <c r="A14" s="2"/>
      <c r="B14" s="2" t="s">
        <v>10</v>
      </c>
      <c r="C14" s="3">
        <v>120</v>
      </c>
      <c r="D14" s="3">
        <v>2400</v>
      </c>
      <c r="E14" s="3">
        <v>750</v>
      </c>
      <c r="F14" s="2"/>
      <c r="G14" s="2"/>
      <c r="H14" s="2"/>
      <c r="I14" s="2"/>
      <c r="J14" s="2"/>
      <c r="K14" s="2"/>
      <c r="L14" s="16"/>
      <c r="N14" s="75"/>
      <c r="O14" s="75"/>
      <c r="P14" s="75"/>
      <c r="Q14" s="75"/>
      <c r="R14" s="75"/>
      <c r="S14" s="75"/>
      <c r="T14" s="75"/>
    </row>
    <row r="15" spans="1:20" ht="15.75" thickBot="1" x14ac:dyDescent="0.3">
      <c r="A15" s="2"/>
      <c r="B15" s="2" t="s">
        <v>9</v>
      </c>
      <c r="C15" s="25">
        <v>25</v>
      </c>
      <c r="D15" s="25">
        <v>3000</v>
      </c>
      <c r="E15" s="25">
        <v>1000</v>
      </c>
      <c r="F15" s="2"/>
      <c r="G15" s="2"/>
      <c r="H15" s="2" t="s">
        <v>26</v>
      </c>
      <c r="I15" s="27">
        <f>J13/E32</f>
        <v>7.4266343825665854E-2</v>
      </c>
      <c r="J15" s="2"/>
      <c r="K15" s="2"/>
      <c r="L15" s="16"/>
      <c r="N15" s="75"/>
      <c r="O15" s="75"/>
      <c r="P15" s="75"/>
      <c r="Q15" s="75"/>
      <c r="R15" s="75"/>
      <c r="S15" s="75"/>
      <c r="T15" s="75"/>
    </row>
    <row r="16" spans="1:20" ht="15.75" customHeight="1" thickTop="1" x14ac:dyDescent="0.25">
      <c r="A16" s="2"/>
      <c r="B16" s="2"/>
      <c r="C16" s="36">
        <f>SUM(C12:C15)</f>
        <v>370</v>
      </c>
      <c r="D16" s="36">
        <f>SUMPRODUCT(D12:D15,$C$12:$C$15)</f>
        <v>745500</v>
      </c>
      <c r="E16" s="36">
        <f>SUMPRODUCT(E12:E15,$C$12:$C$15)</f>
        <v>231250</v>
      </c>
      <c r="F16" s="2"/>
      <c r="G16" s="2"/>
      <c r="H16" s="2"/>
      <c r="I16" s="27"/>
      <c r="J16" s="2"/>
      <c r="K16" s="2"/>
      <c r="L16" s="16"/>
    </row>
    <row r="17" spans="1:20" ht="16.5" customHeight="1" x14ac:dyDescent="0.25">
      <c r="A17" s="2"/>
      <c r="B17" s="2"/>
      <c r="C17" s="2"/>
      <c r="D17" s="2"/>
      <c r="E17" s="2"/>
      <c r="F17" s="2"/>
      <c r="G17" s="2"/>
      <c r="H17" s="2"/>
      <c r="I17" s="2"/>
      <c r="J17" s="2"/>
      <c r="K17" s="2"/>
      <c r="L17" s="16"/>
      <c r="N17" s="42"/>
      <c r="O17" s="43"/>
      <c r="P17" s="83" t="s">
        <v>30</v>
      </c>
      <c r="Q17" s="83"/>
      <c r="R17" s="83"/>
      <c r="S17" s="83"/>
      <c r="T17" s="84"/>
    </row>
    <row r="18" spans="1:20" ht="16.5" customHeight="1" x14ac:dyDescent="0.3">
      <c r="A18" s="2"/>
      <c r="B18" s="17" t="s">
        <v>2</v>
      </c>
      <c r="C18" s="2"/>
      <c r="D18" s="2"/>
      <c r="E18" s="2"/>
      <c r="F18" s="2"/>
      <c r="G18" s="2"/>
      <c r="H18" s="2" t="s">
        <v>27</v>
      </c>
      <c r="I18" s="3">
        <v>5</v>
      </c>
      <c r="J18" s="2" t="s">
        <v>22</v>
      </c>
      <c r="K18" s="2"/>
      <c r="L18" s="16"/>
      <c r="N18" s="44"/>
      <c r="O18" s="45">
        <f>G39</f>
        <v>0.10765486051053053</v>
      </c>
      <c r="P18" s="46">
        <v>0.05</v>
      </c>
      <c r="Q18" s="46">
        <v>5.2499999999999998E-2</v>
      </c>
      <c r="R18" s="46">
        <v>5.5E-2</v>
      </c>
      <c r="S18" s="46">
        <v>5.7500000000000002E-2</v>
      </c>
      <c r="T18" s="47">
        <v>0.06</v>
      </c>
    </row>
    <row r="19" spans="1:20" ht="15" customHeight="1" x14ac:dyDescent="0.25">
      <c r="A19" s="2"/>
      <c r="B19" s="2"/>
      <c r="C19" s="2"/>
      <c r="D19" s="2"/>
      <c r="E19" s="2"/>
      <c r="F19" s="2"/>
      <c r="G19" s="2"/>
      <c r="H19" s="18" t="s">
        <v>29</v>
      </c>
      <c r="I19" s="18"/>
      <c r="J19" s="18"/>
      <c r="K19" s="18">
        <f>I18*J13</f>
        <v>33547500</v>
      </c>
      <c r="L19" s="16"/>
      <c r="N19" s="81" t="s">
        <v>51</v>
      </c>
      <c r="O19" s="48">
        <v>225</v>
      </c>
      <c r="P19" s="45"/>
      <c r="Q19" s="45"/>
      <c r="R19" s="45"/>
      <c r="S19" s="45"/>
      <c r="T19" s="49"/>
    </row>
    <row r="20" spans="1:20" x14ac:dyDescent="0.25">
      <c r="A20" s="2"/>
      <c r="B20" s="18" t="s">
        <v>1</v>
      </c>
      <c r="C20" s="2"/>
      <c r="D20" s="2"/>
      <c r="E20" s="2"/>
      <c r="F20" s="2"/>
      <c r="G20" s="2"/>
      <c r="H20" s="2"/>
      <c r="I20" s="2"/>
      <c r="J20" s="2"/>
      <c r="K20" s="2"/>
      <c r="L20" s="16"/>
      <c r="N20" s="81"/>
      <c r="O20" s="48">
        <v>250</v>
      </c>
      <c r="P20" s="45"/>
      <c r="Q20" s="45"/>
      <c r="R20" s="45"/>
      <c r="S20" s="45"/>
      <c r="T20" s="49"/>
    </row>
    <row r="21" spans="1:20" x14ac:dyDescent="0.25">
      <c r="A21" s="2"/>
      <c r="B21" s="2" t="s">
        <v>0</v>
      </c>
      <c r="C21" s="2"/>
      <c r="D21" s="3">
        <v>25000000</v>
      </c>
      <c r="E21" s="3"/>
      <c r="F21" s="2"/>
      <c r="G21" s="2"/>
      <c r="H21" s="2"/>
      <c r="I21" s="2"/>
      <c r="J21" s="2"/>
      <c r="K21" s="2"/>
      <c r="L21" s="16"/>
      <c r="N21" s="81"/>
      <c r="O21" s="48">
        <v>275</v>
      </c>
      <c r="P21" s="45"/>
      <c r="Q21" s="45"/>
      <c r="R21" s="45"/>
      <c r="S21" s="45"/>
      <c r="T21" s="49"/>
    </row>
    <row r="22" spans="1:20" ht="19.5" thickBot="1" x14ac:dyDescent="0.35">
      <c r="A22" s="2"/>
      <c r="B22" s="2" t="str">
        <f>"+ Purchase Costs"</f>
        <v>+ Purchase Costs</v>
      </c>
      <c r="C22" s="22">
        <v>7.0000000000000007E-2</v>
      </c>
      <c r="D22" s="23">
        <f>D21*C22</f>
        <v>1750000.0000000002</v>
      </c>
      <c r="E22" s="5"/>
      <c r="F22" s="2"/>
      <c r="G22" s="2"/>
      <c r="H22" s="17" t="s">
        <v>34</v>
      </c>
      <c r="I22" s="2"/>
      <c r="J22" s="2"/>
      <c r="K22" s="2"/>
      <c r="L22" s="16"/>
      <c r="N22" s="81"/>
      <c r="O22" s="48">
        <v>300</v>
      </c>
      <c r="P22" s="45"/>
      <c r="Q22" s="45"/>
      <c r="R22" s="45"/>
      <c r="S22" s="45"/>
      <c r="T22" s="49"/>
    </row>
    <row r="23" spans="1:20" ht="15.75" thickTop="1" x14ac:dyDescent="0.25">
      <c r="A23" s="2"/>
      <c r="B23" s="18" t="s">
        <v>16</v>
      </c>
      <c r="C23" s="2"/>
      <c r="D23" s="2"/>
      <c r="E23" s="18">
        <f>SUM(D21:D22)</f>
        <v>26750000</v>
      </c>
      <c r="F23" s="2"/>
      <c r="G23" s="2"/>
      <c r="H23" s="2"/>
      <c r="I23" s="2"/>
      <c r="J23" s="2"/>
      <c r="K23" s="2"/>
      <c r="L23" s="16"/>
      <c r="N23" s="82"/>
      <c r="O23" s="50">
        <v>325</v>
      </c>
      <c r="P23" s="51"/>
      <c r="Q23" s="51"/>
      <c r="R23" s="51"/>
      <c r="S23" s="51"/>
      <c r="T23" s="52"/>
    </row>
    <row r="24" spans="1:20" x14ac:dyDescent="0.25">
      <c r="A24" s="2"/>
      <c r="B24" s="2"/>
      <c r="C24" s="2"/>
      <c r="D24" s="2"/>
      <c r="E24" s="18"/>
      <c r="F24" s="2"/>
      <c r="G24" s="2"/>
      <c r="H24" s="2" t="s">
        <v>25</v>
      </c>
      <c r="I24" s="2">
        <f>J13</f>
        <v>6709500</v>
      </c>
      <c r="J24" s="2"/>
      <c r="K24" s="2"/>
      <c r="L24" s="16"/>
    </row>
    <row r="25" spans="1:20" x14ac:dyDescent="0.25">
      <c r="A25" s="2"/>
      <c r="B25" s="18" t="s">
        <v>13</v>
      </c>
      <c r="C25" s="2"/>
      <c r="D25" s="2"/>
      <c r="E25" s="2"/>
      <c r="F25" s="2"/>
      <c r="G25" s="2"/>
      <c r="H25" s="2" t="s">
        <v>30</v>
      </c>
      <c r="I25" s="22">
        <v>5.5E-2</v>
      </c>
      <c r="J25" s="2"/>
      <c r="K25" s="2"/>
      <c r="L25" s="16"/>
    </row>
    <row r="26" spans="1:20" x14ac:dyDescent="0.25">
      <c r="A26" s="2"/>
      <c r="B26" s="2" t="s">
        <v>14</v>
      </c>
      <c r="C26" s="2"/>
      <c r="D26" s="24">
        <f>SUMPRODUCT(E12:E15,C12:C15)</f>
        <v>231250</v>
      </c>
      <c r="E26" s="2"/>
      <c r="F26" s="2"/>
      <c r="G26" s="2"/>
      <c r="H26" s="2" t="s">
        <v>31</v>
      </c>
      <c r="I26" s="2"/>
      <c r="J26" s="2">
        <f>I24/I25</f>
        <v>121990909.09090909</v>
      </c>
      <c r="K26" s="2"/>
      <c r="L26" s="16"/>
      <c r="N26" s="60" t="s">
        <v>77</v>
      </c>
      <c r="O26" s="63"/>
      <c r="P26" s="63"/>
      <c r="Q26" s="63"/>
      <c r="R26" s="63"/>
      <c r="S26" s="63"/>
      <c r="T26" s="63"/>
    </row>
    <row r="27" spans="1:20" ht="15.75" thickBot="1" x14ac:dyDescent="0.3">
      <c r="A27" s="2"/>
      <c r="B27" s="2" t="s">
        <v>15</v>
      </c>
      <c r="C27" s="2"/>
      <c r="D27" s="25">
        <v>275</v>
      </c>
      <c r="E27" s="2"/>
      <c r="F27" s="2"/>
      <c r="G27" s="2"/>
      <c r="H27" s="2" t="str">
        <f>"- sales costs"</f>
        <v>- sales costs</v>
      </c>
      <c r="I27" s="22">
        <v>0.02</v>
      </c>
      <c r="J27" s="6">
        <f>J26*I27</f>
        <v>2439818.1818181821</v>
      </c>
      <c r="K27" s="2"/>
      <c r="L27" s="16"/>
      <c r="N27" s="65"/>
      <c r="O27" s="66"/>
      <c r="P27" s="77" t="s">
        <v>30</v>
      </c>
      <c r="Q27" s="77"/>
      <c r="R27" s="77"/>
      <c r="S27" s="77"/>
      <c r="T27" s="78"/>
    </row>
    <row r="28" spans="1:20" ht="16.5" thickTop="1" thickBot="1" x14ac:dyDescent="0.3">
      <c r="A28" s="2"/>
      <c r="B28" s="18" t="s">
        <v>17</v>
      </c>
      <c r="C28" s="2"/>
      <c r="D28" s="2"/>
      <c r="E28" s="26">
        <f>D26*D27</f>
        <v>63593750</v>
      </c>
      <c r="F28" s="2"/>
      <c r="G28" s="2"/>
      <c r="H28" s="18" t="s">
        <v>32</v>
      </c>
      <c r="I28" s="18"/>
      <c r="J28" s="18"/>
      <c r="K28" s="32">
        <f>J26-J27</f>
        <v>119551090.90909091</v>
      </c>
      <c r="L28" s="16"/>
      <c r="N28" s="67"/>
      <c r="O28" s="68">
        <v>0.10765486051053053</v>
      </c>
      <c r="P28" s="68">
        <v>0.05</v>
      </c>
      <c r="Q28" s="68">
        <v>5.2499999999999998E-2</v>
      </c>
      <c r="R28" s="68">
        <v>5.5E-2</v>
      </c>
      <c r="S28" s="68">
        <v>5.7500000000000002E-2</v>
      </c>
      <c r="T28" s="69">
        <v>0.06</v>
      </c>
    </row>
    <row r="29" spans="1:20" ht="15.75" customHeight="1" thickTop="1" x14ac:dyDescent="0.25">
      <c r="A29" s="2"/>
      <c r="B29" s="2"/>
      <c r="C29" s="2"/>
      <c r="D29" s="2"/>
      <c r="E29" s="2"/>
      <c r="F29" s="2"/>
      <c r="G29" s="2"/>
      <c r="H29" s="2"/>
      <c r="I29" s="2"/>
      <c r="J29" s="2"/>
      <c r="K29" s="2"/>
      <c r="L29" s="16"/>
      <c r="N29" s="79" t="s">
        <v>51</v>
      </c>
      <c r="O29" s="70">
        <v>225</v>
      </c>
      <c r="P29" s="68">
        <v>0.15303558696801245</v>
      </c>
      <c r="Q29" s="68">
        <v>0.14491629400820316</v>
      </c>
      <c r="R29" s="68">
        <v>0.13727450383598683</v>
      </c>
      <c r="S29" s="68">
        <v>0.13006345925686014</v>
      </c>
      <c r="T29" s="69">
        <v>0.12324273764633564</v>
      </c>
    </row>
    <row r="30" spans="1:20" x14ac:dyDescent="0.25">
      <c r="A30" s="2"/>
      <c r="B30" s="2" t="s">
        <v>21</v>
      </c>
      <c r="C30" s="3">
        <v>2</v>
      </c>
      <c r="D30" s="2" t="s">
        <v>22</v>
      </c>
      <c r="E30" s="2"/>
      <c r="F30" s="2"/>
      <c r="G30" s="2"/>
      <c r="H30" s="2"/>
      <c r="I30" s="2"/>
      <c r="J30" s="2"/>
      <c r="K30" s="2"/>
      <c r="L30" s="16"/>
      <c r="N30" s="79"/>
      <c r="O30" s="70">
        <v>250</v>
      </c>
      <c r="P30" s="68">
        <v>0.13752929599267993</v>
      </c>
      <c r="Q30" s="68">
        <v>0.12946557546948423</v>
      </c>
      <c r="R30" s="68">
        <v>0.12187555150267837</v>
      </c>
      <c r="S30" s="68">
        <v>0.11471285658490782</v>
      </c>
      <c r="T30" s="69">
        <v>0.10793740401599083</v>
      </c>
    </row>
    <row r="31" spans="1:20" x14ac:dyDescent="0.25">
      <c r="A31" s="2"/>
      <c r="B31" s="2"/>
      <c r="C31" s="2"/>
      <c r="D31" s="2"/>
      <c r="E31" s="2"/>
      <c r="F31" s="2"/>
      <c r="G31" s="2"/>
      <c r="H31" s="2"/>
      <c r="I31" s="2"/>
      <c r="J31" s="2"/>
      <c r="K31" s="2"/>
      <c r="L31" s="16"/>
      <c r="N31" s="79"/>
      <c r="O31" s="70">
        <v>275</v>
      </c>
      <c r="P31" s="68">
        <v>0.12320501349904811</v>
      </c>
      <c r="Q31" s="68">
        <v>0.11519490170785862</v>
      </c>
      <c r="R31" s="68">
        <v>0.10765486051053053</v>
      </c>
      <c r="S31" s="68">
        <v>0.1005388922405992</v>
      </c>
      <c r="T31" s="69">
        <v>9.380722909552075E-2</v>
      </c>
    </row>
    <row r="32" spans="1:20" ht="15.75" thickBot="1" x14ac:dyDescent="0.3">
      <c r="A32" s="2"/>
      <c r="B32" s="37" t="s">
        <v>42</v>
      </c>
      <c r="C32" s="37"/>
      <c r="D32" s="37"/>
      <c r="E32" s="37">
        <f>E23+E28</f>
        <v>90343750</v>
      </c>
      <c r="F32" s="38"/>
      <c r="G32" s="38"/>
      <c r="H32" s="37" t="s">
        <v>43</v>
      </c>
      <c r="I32" s="37"/>
      <c r="J32" s="37"/>
      <c r="K32" s="37">
        <f>K19+K28</f>
        <v>153098590.90909091</v>
      </c>
      <c r="L32" s="16"/>
      <c r="N32" s="79"/>
      <c r="O32" s="70">
        <v>300</v>
      </c>
      <c r="P32" s="68">
        <v>0.10990961350931494</v>
      </c>
      <c r="Q32" s="68">
        <v>0.10195117342364224</v>
      </c>
      <c r="R32" s="68">
        <v>9.4459345721090493E-2</v>
      </c>
      <c r="S32" s="68">
        <v>8.7388484345143125E-2</v>
      </c>
      <c r="T32" s="69">
        <v>8.069912473686891E-2</v>
      </c>
    </row>
    <row r="33" spans="1:20" ht="16.5" thickTop="1" thickBot="1" x14ac:dyDescent="0.3">
      <c r="A33" s="6"/>
      <c r="B33" s="26"/>
      <c r="C33" s="26"/>
      <c r="D33" s="26"/>
      <c r="E33" s="26"/>
      <c r="F33" s="6"/>
      <c r="G33" s="6"/>
      <c r="H33" s="6"/>
      <c r="I33" s="6"/>
      <c r="J33" s="6"/>
      <c r="K33" s="6"/>
      <c r="L33" s="33"/>
      <c r="N33" s="80"/>
      <c r="O33" s="71">
        <v>325</v>
      </c>
      <c r="P33" s="72">
        <v>9.751694953453427E-2</v>
      </c>
      <c r="Q33" s="72">
        <v>8.9608299457846208E-2</v>
      </c>
      <c r="R33" s="72">
        <v>8.2162959432411808E-2</v>
      </c>
      <c r="S33" s="72">
        <v>7.5135618246704672E-2</v>
      </c>
      <c r="T33" s="73">
        <v>6.8487100180285587E-2</v>
      </c>
    </row>
    <row r="34" spans="1:20" ht="15.75" thickTop="1" x14ac:dyDescent="0.25">
      <c r="A34" s="2"/>
      <c r="B34" s="2"/>
      <c r="C34" s="2"/>
      <c r="D34" s="2"/>
      <c r="E34" s="2"/>
      <c r="F34" s="2"/>
      <c r="G34" s="2"/>
      <c r="H34" s="2"/>
      <c r="I34" s="2"/>
      <c r="J34" s="2"/>
      <c r="K34" s="2"/>
      <c r="L34" s="16"/>
      <c r="N34" s="63"/>
      <c r="O34" s="63"/>
      <c r="P34" s="63"/>
      <c r="Q34" s="63"/>
      <c r="R34" s="63"/>
      <c r="S34" s="63"/>
      <c r="T34" s="63"/>
    </row>
    <row r="35" spans="1:20" ht="18.75" x14ac:dyDescent="0.3">
      <c r="A35" s="2"/>
      <c r="B35" s="2"/>
      <c r="C35" s="2"/>
      <c r="D35" s="2"/>
      <c r="E35" s="17" t="s">
        <v>35</v>
      </c>
      <c r="F35" s="2"/>
      <c r="G35" s="2"/>
      <c r="H35" s="2"/>
      <c r="I35" s="2"/>
      <c r="J35" s="2"/>
      <c r="K35" s="2"/>
      <c r="L35" s="16"/>
    </row>
    <row r="36" spans="1:20" x14ac:dyDescent="0.25">
      <c r="A36" s="2"/>
      <c r="B36" s="2"/>
      <c r="C36" s="2"/>
      <c r="D36" s="2"/>
      <c r="E36" s="2"/>
      <c r="F36" s="2"/>
      <c r="G36" s="2"/>
      <c r="H36" s="2"/>
      <c r="I36" s="2"/>
      <c r="J36" s="2"/>
      <c r="K36" s="2"/>
      <c r="L36" s="16"/>
    </row>
    <row r="37" spans="1:20" x14ac:dyDescent="0.25">
      <c r="A37" s="2"/>
      <c r="B37" s="2"/>
      <c r="C37" s="2"/>
      <c r="D37" s="2"/>
      <c r="E37" s="18" t="s">
        <v>33</v>
      </c>
      <c r="F37" s="2"/>
      <c r="G37" s="18">
        <f>K32-E32</f>
        <v>62754840.909090906</v>
      </c>
      <c r="H37" s="2"/>
      <c r="I37" s="2"/>
      <c r="J37" s="2"/>
      <c r="K37" s="2"/>
      <c r="L37" s="16"/>
    </row>
    <row r="38" spans="1:20" x14ac:dyDescent="0.25">
      <c r="A38" s="2"/>
      <c r="B38" s="2"/>
      <c r="C38" s="2"/>
      <c r="D38" s="2"/>
      <c r="E38" s="2" t="s">
        <v>36</v>
      </c>
      <c r="F38" s="2"/>
      <c r="G38" s="28">
        <f>G37/E32</f>
        <v>0.6946229363856482</v>
      </c>
      <c r="H38" s="2"/>
      <c r="I38" s="2"/>
      <c r="J38" s="2"/>
      <c r="K38" s="2"/>
      <c r="L38" s="16"/>
    </row>
    <row r="39" spans="1:20" x14ac:dyDescent="0.25">
      <c r="A39" s="2"/>
      <c r="B39" s="2"/>
      <c r="C39" s="2"/>
      <c r="D39" s="2"/>
      <c r="E39" s="2" t="s">
        <v>41</v>
      </c>
      <c r="F39" s="2"/>
      <c r="G39" s="27">
        <f>IRR(C49:L49)</f>
        <v>0.10765486051053053</v>
      </c>
      <c r="H39" s="2"/>
      <c r="I39" s="2"/>
      <c r="J39" s="2"/>
      <c r="K39" s="2"/>
      <c r="L39" s="16"/>
    </row>
    <row r="40" spans="1:20" x14ac:dyDescent="0.25">
      <c r="A40" s="2"/>
      <c r="B40" s="2"/>
      <c r="C40" s="2"/>
      <c r="D40" s="2"/>
      <c r="E40" s="2"/>
      <c r="F40" s="2"/>
      <c r="G40" s="2"/>
      <c r="H40" s="2"/>
      <c r="I40" s="2"/>
      <c r="J40" s="2"/>
      <c r="K40" s="2"/>
      <c r="L40" s="16"/>
    </row>
    <row r="41" spans="1:20" ht="19.5" thickBot="1" x14ac:dyDescent="0.35">
      <c r="A41" s="9"/>
      <c r="B41" s="9" t="s">
        <v>18</v>
      </c>
      <c r="C41" s="9"/>
      <c r="D41" s="9"/>
      <c r="E41" s="8"/>
      <c r="F41" s="8"/>
      <c r="G41" s="8"/>
      <c r="H41" s="8"/>
      <c r="I41" s="8"/>
      <c r="J41" s="8"/>
      <c r="K41" s="8"/>
      <c r="L41" s="8"/>
    </row>
    <row r="42" spans="1:20" ht="15.75" thickTop="1" x14ac:dyDescent="0.25">
      <c r="A42" s="2"/>
      <c r="B42" s="2"/>
      <c r="C42" s="2"/>
      <c r="D42" s="2"/>
      <c r="E42" s="2"/>
      <c r="F42" s="2"/>
      <c r="G42" s="2"/>
      <c r="H42" s="2"/>
      <c r="I42" s="2"/>
      <c r="J42" s="2"/>
      <c r="K42" s="2"/>
      <c r="L42" s="40"/>
    </row>
    <row r="43" spans="1:20" x14ac:dyDescent="0.25">
      <c r="A43" s="11"/>
      <c r="B43" s="14" t="s">
        <v>19</v>
      </c>
      <c r="C43" s="14">
        <v>1</v>
      </c>
      <c r="D43" s="14">
        <v>2</v>
      </c>
      <c r="E43" s="14">
        <v>3</v>
      </c>
      <c r="F43" s="14">
        <v>4</v>
      </c>
      <c r="G43" s="14">
        <v>5</v>
      </c>
      <c r="H43" s="14">
        <v>6</v>
      </c>
      <c r="I43" s="14">
        <v>7</v>
      </c>
      <c r="J43" s="14">
        <v>8</v>
      </c>
      <c r="K43" s="14">
        <v>9</v>
      </c>
      <c r="L43" s="41">
        <v>10</v>
      </c>
      <c r="M43" s="4"/>
      <c r="N43" s="39"/>
    </row>
    <row r="44" spans="1:20" x14ac:dyDescent="0.25">
      <c r="A44" s="12"/>
      <c r="B44" s="13" t="s">
        <v>40</v>
      </c>
      <c r="C44" s="11"/>
      <c r="D44" s="11"/>
      <c r="E44" s="11"/>
      <c r="F44" s="11"/>
      <c r="G44" s="11"/>
      <c r="H44" s="11"/>
      <c r="I44" s="11"/>
      <c r="J44" s="11"/>
      <c r="K44" s="11"/>
      <c r="L44" s="12"/>
      <c r="M44" s="4"/>
      <c r="N44" s="39"/>
    </row>
    <row r="45" spans="1:20" x14ac:dyDescent="0.25">
      <c r="A45" s="16" t="s">
        <v>20</v>
      </c>
      <c r="B45" s="29">
        <f>SUM(C45:L45)</f>
        <v>-26750000</v>
      </c>
      <c r="C45" s="2">
        <f>-E23</f>
        <v>-26750000</v>
      </c>
      <c r="D45" s="2"/>
      <c r="E45" s="2"/>
      <c r="F45" s="2"/>
      <c r="G45" s="2"/>
      <c r="H45" s="2"/>
      <c r="I45" s="2"/>
      <c r="J45" s="2"/>
      <c r="K45" s="2"/>
      <c r="L45" s="16"/>
      <c r="M45" s="4"/>
      <c r="N45" s="39"/>
    </row>
    <row r="46" spans="1:20" x14ac:dyDescent="0.25">
      <c r="A46" s="16" t="s">
        <v>37</v>
      </c>
      <c r="B46" s="29">
        <f t="shared" ref="B46:B48" si="0">SUM(C46:L46)</f>
        <v>-63593750</v>
      </c>
      <c r="C46" s="2">
        <f t="shared" ref="C46:L46" si="1">(C43&lt;=$C$30)*-($E$28/$C$30)</f>
        <v>-31796875</v>
      </c>
      <c r="D46" s="2">
        <f t="shared" si="1"/>
        <v>-31796875</v>
      </c>
      <c r="E46" s="2">
        <f t="shared" si="1"/>
        <v>0</v>
      </c>
      <c r="F46" s="2">
        <f t="shared" si="1"/>
        <v>0</v>
      </c>
      <c r="G46" s="2">
        <f t="shared" si="1"/>
        <v>0</v>
      </c>
      <c r="H46" s="2">
        <f t="shared" si="1"/>
        <v>0</v>
      </c>
      <c r="I46" s="2">
        <f t="shared" si="1"/>
        <v>0</v>
      </c>
      <c r="J46" s="2">
        <f t="shared" si="1"/>
        <v>0</v>
      </c>
      <c r="K46" s="2">
        <f t="shared" si="1"/>
        <v>0</v>
      </c>
      <c r="L46" s="16">
        <f t="shared" si="1"/>
        <v>0</v>
      </c>
      <c r="M46" s="4"/>
      <c r="N46" s="39"/>
    </row>
    <row r="47" spans="1:20" x14ac:dyDescent="0.25">
      <c r="A47" s="16" t="s">
        <v>38</v>
      </c>
      <c r="B47" s="29">
        <f t="shared" si="0"/>
        <v>33547500</v>
      </c>
      <c r="C47" s="2">
        <f t="shared" ref="C47:L47" si="2">IF(AND(C43&gt;$C$30,C43&lt;=$C$30+$I$18),$J$13,0)</f>
        <v>0</v>
      </c>
      <c r="D47" s="2">
        <f t="shared" si="2"/>
        <v>0</v>
      </c>
      <c r="E47" s="2">
        <f t="shared" si="2"/>
        <v>6709500</v>
      </c>
      <c r="F47" s="2">
        <f t="shared" si="2"/>
        <v>6709500</v>
      </c>
      <c r="G47" s="2">
        <f t="shared" si="2"/>
        <v>6709500</v>
      </c>
      <c r="H47" s="2">
        <f t="shared" si="2"/>
        <v>6709500</v>
      </c>
      <c r="I47" s="2">
        <f t="shared" si="2"/>
        <v>6709500</v>
      </c>
      <c r="J47" s="2">
        <f t="shared" si="2"/>
        <v>0</v>
      </c>
      <c r="K47" s="2">
        <f t="shared" si="2"/>
        <v>0</v>
      </c>
      <c r="L47" s="16">
        <f t="shared" si="2"/>
        <v>0</v>
      </c>
      <c r="M47" s="4"/>
      <c r="N47" s="39"/>
    </row>
    <row r="48" spans="1:20" x14ac:dyDescent="0.25">
      <c r="A48" s="16" t="s">
        <v>39</v>
      </c>
      <c r="B48" s="29">
        <f t="shared" si="0"/>
        <v>119551090.90909091</v>
      </c>
      <c r="C48" s="2">
        <f t="shared" ref="C48:L48" si="3">(C43=$C$30+$I$18)*$K$28</f>
        <v>0</v>
      </c>
      <c r="D48" s="2">
        <f t="shared" si="3"/>
        <v>0</v>
      </c>
      <c r="E48" s="2">
        <f t="shared" si="3"/>
        <v>0</v>
      </c>
      <c r="F48" s="2">
        <f t="shared" si="3"/>
        <v>0</v>
      </c>
      <c r="G48" s="2">
        <f t="shared" si="3"/>
        <v>0</v>
      </c>
      <c r="H48" s="2">
        <f t="shared" si="3"/>
        <v>0</v>
      </c>
      <c r="I48" s="2">
        <f t="shared" si="3"/>
        <v>119551090.90909091</v>
      </c>
      <c r="J48" s="2">
        <f t="shared" si="3"/>
        <v>0</v>
      </c>
      <c r="K48" s="2">
        <f t="shared" si="3"/>
        <v>0</v>
      </c>
      <c r="L48" s="16">
        <f t="shared" si="3"/>
        <v>0</v>
      </c>
      <c r="M48" s="4"/>
      <c r="N48" s="39"/>
    </row>
    <row r="49" spans="1:14" x14ac:dyDescent="0.25">
      <c r="A49" s="12" t="s">
        <v>33</v>
      </c>
      <c r="B49" s="15">
        <f t="shared" ref="B49:L49" si="4">SUM(B45:B48)</f>
        <v>62754840.909090906</v>
      </c>
      <c r="C49" s="11">
        <f t="shared" si="4"/>
        <v>-58546875</v>
      </c>
      <c r="D49" s="11">
        <f t="shared" si="4"/>
        <v>-31796875</v>
      </c>
      <c r="E49" s="11">
        <f t="shared" si="4"/>
        <v>6709500</v>
      </c>
      <c r="F49" s="11">
        <f t="shared" si="4"/>
        <v>6709500</v>
      </c>
      <c r="G49" s="11">
        <f t="shared" si="4"/>
        <v>6709500</v>
      </c>
      <c r="H49" s="11">
        <f t="shared" si="4"/>
        <v>6709500</v>
      </c>
      <c r="I49" s="11">
        <f t="shared" si="4"/>
        <v>126260590.90909091</v>
      </c>
      <c r="J49" s="11">
        <f t="shared" si="4"/>
        <v>0</v>
      </c>
      <c r="K49" s="11">
        <f t="shared" si="4"/>
        <v>0</v>
      </c>
      <c r="L49" s="12">
        <f t="shared" si="4"/>
        <v>0</v>
      </c>
      <c r="M49" s="4"/>
      <c r="N49" s="39"/>
    </row>
    <row r="50" spans="1:14" x14ac:dyDescent="0.25">
      <c r="A50" s="30"/>
      <c r="B50" s="30"/>
      <c r="C50" s="30"/>
      <c r="D50" s="30"/>
      <c r="E50" s="30"/>
      <c r="F50" s="30"/>
      <c r="G50" s="30"/>
      <c r="H50" s="30"/>
      <c r="I50" s="30"/>
      <c r="J50" s="30"/>
      <c r="K50" s="30"/>
      <c r="L50" s="31"/>
      <c r="M50" s="4"/>
      <c r="N50" s="39"/>
    </row>
    <row r="51" spans="1:14" x14ac:dyDescent="0.25">
      <c r="M51" s="39"/>
      <c r="N51" s="39"/>
    </row>
  </sheetData>
  <mergeCells count="8">
    <mergeCell ref="N2:T5"/>
    <mergeCell ref="N6:T8"/>
    <mergeCell ref="N9:T11"/>
    <mergeCell ref="P27:T27"/>
    <mergeCell ref="N29:N33"/>
    <mergeCell ref="N19:N23"/>
    <mergeCell ref="N12:T15"/>
    <mergeCell ref="P17:T17"/>
  </mergeCell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5D520-16FE-41F2-B27E-68C72D239C68}">
  <dimension ref="A1:U51"/>
  <sheetViews>
    <sheetView topLeftCell="A4" zoomScale="85" zoomScaleNormal="85" workbookViewId="0">
      <selection activeCell="N37" sqref="N37"/>
    </sheetView>
  </sheetViews>
  <sheetFormatPr defaultRowHeight="15" x14ac:dyDescent="0.25"/>
  <cols>
    <col min="1" max="1" width="14.5703125" style="1" bestFit="1" customWidth="1"/>
    <col min="2" max="2" width="19.5703125" style="1" customWidth="1"/>
    <col min="3" max="3" width="15.140625" style="1" customWidth="1"/>
    <col min="4" max="4" width="15.5703125" style="1" customWidth="1"/>
    <col min="5" max="5" width="16.85546875" style="1" customWidth="1"/>
    <col min="6" max="7" width="14.7109375" style="1" customWidth="1"/>
    <col min="8" max="8" width="19.85546875" style="1" customWidth="1"/>
    <col min="9" max="9" width="15.5703125" style="1" customWidth="1"/>
    <col min="10" max="10" width="16.5703125" style="1" customWidth="1"/>
    <col min="11" max="11" width="15.42578125" style="1" customWidth="1"/>
    <col min="12" max="12" width="13.85546875" style="1" customWidth="1"/>
    <col min="13" max="13" width="7.140625" style="1" customWidth="1"/>
    <col min="14" max="14" width="15.7109375" style="1" customWidth="1"/>
    <col min="15" max="15" width="10.140625" style="1" customWidth="1"/>
    <col min="16" max="16" width="9.28515625" style="1" bestFit="1" customWidth="1"/>
    <col min="17" max="16384" width="9.140625" style="1"/>
  </cols>
  <sheetData>
    <row r="1" spans="1:21" s="34" customFormat="1" x14ac:dyDescent="0.25">
      <c r="A1" s="4"/>
      <c r="B1" s="4"/>
      <c r="C1" s="4"/>
      <c r="D1" s="4"/>
      <c r="E1" s="4"/>
      <c r="F1" s="4"/>
      <c r="G1" s="4"/>
      <c r="H1" s="4"/>
      <c r="I1" s="4"/>
      <c r="J1" s="4"/>
      <c r="K1" s="4"/>
      <c r="L1" s="16"/>
    </row>
    <row r="2" spans="1:21" s="34" customFormat="1" x14ac:dyDescent="0.25">
      <c r="A2" s="4"/>
      <c r="B2" s="4"/>
      <c r="C2" s="4"/>
      <c r="D2" s="4"/>
      <c r="E2" s="4"/>
      <c r="F2" s="7"/>
      <c r="G2" s="53"/>
      <c r="H2" s="53"/>
      <c r="I2" s="53"/>
      <c r="J2" s="53"/>
      <c r="K2" s="53"/>
      <c r="L2" s="16"/>
      <c r="N2" s="88" t="s">
        <v>56</v>
      </c>
      <c r="O2" s="88"/>
      <c r="P2" s="88"/>
      <c r="Q2" s="88"/>
      <c r="R2" s="88"/>
      <c r="S2" s="88"/>
      <c r="T2" s="88"/>
      <c r="U2" s="88"/>
    </row>
    <row r="3" spans="1:21" s="34" customFormat="1" x14ac:dyDescent="0.25">
      <c r="A3" s="4"/>
      <c r="B3" s="4"/>
      <c r="C3" s="4"/>
      <c r="D3" s="4"/>
      <c r="E3" s="4"/>
      <c r="F3" s="5"/>
      <c r="G3" s="53"/>
      <c r="H3" s="53"/>
      <c r="I3" s="53"/>
      <c r="J3" s="53"/>
      <c r="K3" s="53"/>
      <c r="L3" s="16"/>
      <c r="N3" s="85" t="s">
        <v>57</v>
      </c>
      <c r="O3" s="85"/>
      <c r="P3" s="85"/>
      <c r="Q3" s="85"/>
      <c r="R3" s="85"/>
      <c r="S3" s="85"/>
      <c r="T3" s="85"/>
      <c r="U3" s="85"/>
    </row>
    <row r="4" spans="1:21" s="34" customFormat="1" x14ac:dyDescent="0.25">
      <c r="A4" s="4"/>
      <c r="B4" s="4"/>
      <c r="C4" s="4"/>
      <c r="D4" s="4"/>
      <c r="E4" s="4"/>
      <c r="F4" s="4"/>
      <c r="G4" s="54"/>
      <c r="H4" s="54"/>
      <c r="I4" s="54"/>
      <c r="J4" s="54"/>
      <c r="K4" s="54"/>
      <c r="L4" s="16"/>
      <c r="N4" s="85" t="s">
        <v>58</v>
      </c>
      <c r="O4" s="85"/>
      <c r="P4" s="85"/>
      <c r="Q4" s="85"/>
      <c r="R4" s="85"/>
      <c r="S4" s="85"/>
      <c r="T4" s="85"/>
      <c r="U4" s="85"/>
    </row>
    <row r="5" spans="1:21" s="34" customFormat="1" x14ac:dyDescent="0.25">
      <c r="A5" s="4"/>
      <c r="B5" s="4"/>
      <c r="C5" s="4"/>
      <c r="D5" s="4"/>
      <c r="E5" s="4"/>
      <c r="F5" s="4"/>
      <c r="G5" s="54"/>
      <c r="H5" s="54"/>
      <c r="I5" s="54"/>
      <c r="J5" s="54"/>
      <c r="K5" s="54"/>
      <c r="L5" s="16"/>
      <c r="N5" s="85" t="s">
        <v>59</v>
      </c>
      <c r="O5" s="85"/>
      <c r="P5" s="85"/>
      <c r="Q5" s="85"/>
      <c r="R5" s="85"/>
      <c r="S5" s="85"/>
      <c r="T5" s="85"/>
      <c r="U5" s="85"/>
    </row>
    <row r="6" spans="1:21" s="34" customFormat="1" x14ac:dyDescent="0.25">
      <c r="A6" s="4"/>
      <c r="B6" s="4"/>
      <c r="C6" s="4"/>
      <c r="D6" s="4"/>
      <c r="E6" s="4"/>
      <c r="F6" s="4"/>
      <c r="G6" s="4"/>
      <c r="H6" s="4"/>
      <c r="I6" s="4"/>
      <c r="J6" s="4"/>
      <c r="K6" s="4"/>
      <c r="L6" s="16"/>
      <c r="N6" s="85" t="s">
        <v>60</v>
      </c>
      <c r="O6" s="85"/>
      <c r="P6" s="85"/>
      <c r="Q6" s="85"/>
      <c r="R6" s="85"/>
      <c r="S6" s="85"/>
      <c r="T6" s="85"/>
      <c r="U6" s="85"/>
    </row>
    <row r="7" spans="1:21" s="35" customFormat="1" ht="16.5" customHeight="1" thickBot="1" x14ac:dyDescent="0.35">
      <c r="A7" s="9"/>
      <c r="B7" s="9" t="s">
        <v>12</v>
      </c>
      <c r="C7" s="9"/>
      <c r="D7" s="9"/>
      <c r="E7" s="8"/>
      <c r="F7" s="8"/>
      <c r="G7" s="8"/>
      <c r="H7" s="8"/>
      <c r="I7" s="8"/>
      <c r="J7" s="8"/>
      <c r="K7" s="8"/>
      <c r="L7" s="10"/>
      <c r="N7" s="86" t="s">
        <v>61</v>
      </c>
      <c r="O7" s="86"/>
      <c r="P7" s="86"/>
      <c r="Q7" s="86"/>
      <c r="R7" s="86"/>
      <c r="S7" s="86"/>
      <c r="T7" s="86"/>
      <c r="U7" s="86"/>
    </row>
    <row r="8" spans="1:21" s="34" customFormat="1" ht="15.75" thickTop="1" x14ac:dyDescent="0.25">
      <c r="A8" s="4"/>
      <c r="B8" s="4"/>
      <c r="C8" s="4"/>
      <c r="D8" s="4"/>
      <c r="E8" s="4"/>
      <c r="F8" s="4"/>
      <c r="G8" s="4"/>
      <c r="H8" s="4"/>
      <c r="I8" s="4"/>
      <c r="J8" s="4"/>
      <c r="K8" s="4"/>
      <c r="L8" s="16"/>
      <c r="N8" s="86"/>
      <c r="O8" s="86"/>
      <c r="P8" s="86"/>
      <c r="Q8" s="86"/>
      <c r="R8" s="86"/>
      <c r="S8" s="86"/>
      <c r="T8" s="86"/>
      <c r="U8" s="86"/>
    </row>
    <row r="9" spans="1:21" ht="18.75" x14ac:dyDescent="0.3">
      <c r="A9" s="2"/>
      <c r="B9" s="17" t="s">
        <v>3</v>
      </c>
      <c r="C9" s="2"/>
      <c r="D9" s="2"/>
      <c r="E9" s="2"/>
      <c r="F9" s="2"/>
      <c r="G9" s="2"/>
      <c r="H9" s="17" t="s">
        <v>28</v>
      </c>
      <c r="I9" s="2"/>
      <c r="J9" s="2"/>
      <c r="K9" s="2"/>
      <c r="L9" s="20"/>
    </row>
    <row r="10" spans="1:21" ht="15" customHeight="1" x14ac:dyDescent="0.25">
      <c r="A10" s="2"/>
      <c r="B10" s="2"/>
      <c r="C10" s="2"/>
      <c r="D10" s="2"/>
      <c r="E10" s="2"/>
      <c r="F10" s="2"/>
      <c r="G10" s="2"/>
      <c r="H10" s="2"/>
      <c r="I10" s="2"/>
      <c r="J10" s="2"/>
      <c r="K10" s="2"/>
      <c r="L10" s="21"/>
      <c r="N10" s="76" t="s">
        <v>62</v>
      </c>
      <c r="O10" s="76"/>
      <c r="P10" s="76"/>
      <c r="Q10" s="76"/>
      <c r="R10" s="76"/>
      <c r="S10" s="76"/>
      <c r="T10" s="76"/>
      <c r="U10" s="76"/>
    </row>
    <row r="11" spans="1:21" x14ac:dyDescent="0.25">
      <c r="A11" s="2"/>
      <c r="B11" s="18" t="s">
        <v>5</v>
      </c>
      <c r="C11" s="19" t="s">
        <v>4</v>
      </c>
      <c r="D11" s="19" t="s">
        <v>6</v>
      </c>
      <c r="E11" s="19" t="s">
        <v>11</v>
      </c>
      <c r="F11" s="2"/>
      <c r="G11" s="2"/>
      <c r="H11" s="2" t="s">
        <v>23</v>
      </c>
      <c r="I11" s="2"/>
      <c r="J11" s="2">
        <f>D16*12</f>
        <v>8946000</v>
      </c>
      <c r="K11" s="2"/>
      <c r="L11" s="21"/>
      <c r="N11" s="76"/>
      <c r="O11" s="76"/>
      <c r="P11" s="76"/>
      <c r="Q11" s="76"/>
      <c r="R11" s="76"/>
      <c r="S11" s="76"/>
      <c r="T11" s="76"/>
      <c r="U11" s="76"/>
    </row>
    <row r="12" spans="1:21" ht="15.75" thickBot="1" x14ac:dyDescent="0.3">
      <c r="A12" s="2"/>
      <c r="B12" s="2" t="s">
        <v>7</v>
      </c>
      <c r="C12" s="3">
        <v>75</v>
      </c>
      <c r="D12" s="3">
        <v>1500</v>
      </c>
      <c r="E12" s="3">
        <v>450</v>
      </c>
      <c r="F12" s="2"/>
      <c r="G12" s="2"/>
      <c r="H12" s="2" t="s">
        <v>24</v>
      </c>
      <c r="I12" s="22">
        <v>0.25</v>
      </c>
      <c r="J12" s="23">
        <f>J11*I12</f>
        <v>2236500</v>
      </c>
      <c r="K12" s="2"/>
      <c r="L12" s="21"/>
      <c r="N12" s="76"/>
      <c r="O12" s="76"/>
      <c r="P12" s="76"/>
      <c r="Q12" s="76"/>
      <c r="R12" s="76"/>
      <c r="S12" s="76"/>
      <c r="T12" s="76"/>
      <c r="U12" s="76"/>
    </row>
    <row r="13" spans="1:21" ht="15.75" customHeight="1" thickTop="1" x14ac:dyDescent="0.25">
      <c r="A13" s="2"/>
      <c r="B13" s="2" t="s">
        <v>8</v>
      </c>
      <c r="C13" s="3">
        <v>150</v>
      </c>
      <c r="D13" s="3">
        <v>1800</v>
      </c>
      <c r="E13" s="3">
        <v>550</v>
      </c>
      <c r="F13" s="4"/>
      <c r="G13" s="2"/>
      <c r="H13" s="18" t="s">
        <v>25</v>
      </c>
      <c r="I13" s="18"/>
      <c r="J13" s="18">
        <f>J11-J12</f>
        <v>6709500</v>
      </c>
      <c r="L13" s="21"/>
      <c r="N13" s="87" t="s">
        <v>63</v>
      </c>
      <c r="O13" s="87"/>
      <c r="P13" s="87"/>
      <c r="Q13" s="87"/>
      <c r="R13" s="87"/>
      <c r="S13" s="87"/>
      <c r="T13" s="87"/>
      <c r="U13" s="87"/>
    </row>
    <row r="14" spans="1:21" x14ac:dyDescent="0.25">
      <c r="A14" s="2"/>
      <c r="B14" s="2" t="s">
        <v>10</v>
      </c>
      <c r="C14" s="3">
        <v>120</v>
      </c>
      <c r="D14" s="3">
        <v>2400</v>
      </c>
      <c r="E14" s="3">
        <v>750</v>
      </c>
      <c r="F14" s="2"/>
      <c r="G14" s="2"/>
      <c r="H14" s="2"/>
      <c r="I14" s="2"/>
      <c r="J14" s="2"/>
      <c r="K14" s="2"/>
      <c r="L14" s="16"/>
      <c r="N14" s="87"/>
      <c r="O14" s="87"/>
      <c r="P14" s="87"/>
      <c r="Q14" s="87"/>
      <c r="R14" s="87"/>
      <c r="S14" s="87"/>
      <c r="T14" s="87"/>
      <c r="U14" s="87"/>
    </row>
    <row r="15" spans="1:21" ht="15.75" thickBot="1" x14ac:dyDescent="0.3">
      <c r="A15" s="2"/>
      <c r="B15" s="2" t="s">
        <v>9</v>
      </c>
      <c r="C15" s="25">
        <v>25</v>
      </c>
      <c r="D15" s="25">
        <v>3000</v>
      </c>
      <c r="E15" s="25">
        <v>1000</v>
      </c>
      <c r="F15" s="2"/>
      <c r="G15" s="2"/>
      <c r="H15" s="2" t="s">
        <v>26</v>
      </c>
      <c r="I15" s="27">
        <f>J13/E32</f>
        <v>7.4266343825665854E-2</v>
      </c>
      <c r="J15" s="2"/>
      <c r="K15" s="2"/>
      <c r="L15" s="16"/>
      <c r="N15" s="87"/>
      <c r="O15" s="87"/>
      <c r="P15" s="87"/>
      <c r="Q15" s="87"/>
      <c r="R15" s="87"/>
      <c r="S15" s="87"/>
      <c r="T15" s="87"/>
      <c r="U15" s="87"/>
    </row>
    <row r="16" spans="1:21" ht="15.75" thickTop="1" x14ac:dyDescent="0.25">
      <c r="A16" s="2"/>
      <c r="B16" s="2"/>
      <c r="C16" s="36">
        <f>SUM(C12:C15)</f>
        <v>370</v>
      </c>
      <c r="D16" s="36">
        <f>SUMPRODUCT(D12:D15,$C$12:$C$15)</f>
        <v>745500</v>
      </c>
      <c r="E16" s="36">
        <f>SUMPRODUCT(E12:E15,$C$12:$C$15)</f>
        <v>231250</v>
      </c>
      <c r="F16" s="2"/>
      <c r="G16" s="2"/>
      <c r="H16" s="2"/>
      <c r="I16" s="27"/>
      <c r="J16" s="2"/>
      <c r="K16" s="2"/>
      <c r="L16" s="16"/>
      <c r="N16" s="55" t="s">
        <v>64</v>
      </c>
      <c r="O16" s="55"/>
      <c r="P16" s="55"/>
      <c r="Q16" s="55"/>
      <c r="R16" s="55"/>
      <c r="S16" s="55"/>
      <c r="T16" s="55"/>
      <c r="U16" s="55"/>
    </row>
    <row r="17" spans="1:21" x14ac:dyDescent="0.25">
      <c r="A17" s="2"/>
      <c r="B17" s="2"/>
      <c r="C17" s="2"/>
      <c r="D17" s="2"/>
      <c r="E17" s="2"/>
      <c r="F17" s="2"/>
      <c r="G17" s="2"/>
      <c r="H17" s="2"/>
      <c r="I17" s="2"/>
      <c r="J17" s="2"/>
      <c r="K17" s="2"/>
      <c r="L17" s="16"/>
      <c r="N17" s="55" t="s">
        <v>65</v>
      </c>
      <c r="O17" s="55"/>
      <c r="P17" s="55"/>
      <c r="Q17" s="55"/>
      <c r="R17" s="55"/>
      <c r="S17" s="55"/>
      <c r="T17" s="55"/>
      <c r="U17" s="55"/>
    </row>
    <row r="18" spans="1:21" ht="18.75" x14ac:dyDescent="0.3">
      <c r="A18" s="2"/>
      <c r="B18" s="17" t="s">
        <v>2</v>
      </c>
      <c r="C18" s="2"/>
      <c r="D18" s="2"/>
      <c r="E18" s="2"/>
      <c r="F18" s="2"/>
      <c r="G18" s="2"/>
      <c r="H18" s="2" t="s">
        <v>27</v>
      </c>
      <c r="I18" s="3">
        <v>5</v>
      </c>
      <c r="J18" s="2" t="s">
        <v>22</v>
      </c>
      <c r="K18" s="2"/>
      <c r="L18" s="16"/>
      <c r="N18" s="55" t="s">
        <v>66</v>
      </c>
      <c r="O18" s="55"/>
      <c r="P18" s="55"/>
      <c r="Q18" s="55"/>
      <c r="R18" s="55"/>
      <c r="S18" s="55"/>
      <c r="T18" s="55"/>
      <c r="U18" s="55"/>
    </row>
    <row r="19" spans="1:21" x14ac:dyDescent="0.25">
      <c r="A19" s="2"/>
      <c r="B19" s="2"/>
      <c r="C19" s="2"/>
      <c r="D19" s="2"/>
      <c r="E19" s="2"/>
      <c r="F19" s="2"/>
      <c r="G19" s="2"/>
      <c r="H19" s="18" t="s">
        <v>29</v>
      </c>
      <c r="I19" s="18"/>
      <c r="J19" s="18"/>
      <c r="K19" s="18">
        <f>I18*J13</f>
        <v>33547500</v>
      </c>
      <c r="L19" s="16"/>
      <c r="N19" s="55" t="s">
        <v>67</v>
      </c>
      <c r="O19" s="55"/>
      <c r="P19" s="55"/>
      <c r="Q19" s="55"/>
      <c r="R19" s="55"/>
      <c r="S19" s="55"/>
      <c r="T19" s="55"/>
      <c r="U19" s="55"/>
    </row>
    <row r="20" spans="1:21" x14ac:dyDescent="0.25">
      <c r="A20" s="2"/>
      <c r="B20" s="18" t="s">
        <v>1</v>
      </c>
      <c r="C20" s="2"/>
      <c r="D20" s="2"/>
      <c r="E20" s="2"/>
      <c r="F20" s="2"/>
      <c r="G20" s="2"/>
      <c r="H20" s="2"/>
      <c r="I20" s="2"/>
      <c r="J20" s="2"/>
      <c r="K20" s="2"/>
      <c r="L20" s="16"/>
      <c r="N20" s="55" t="s">
        <v>68</v>
      </c>
      <c r="O20" s="55"/>
      <c r="P20" s="55"/>
      <c r="Q20" s="55"/>
      <c r="R20" s="55"/>
      <c r="S20" s="55"/>
      <c r="T20" s="55"/>
      <c r="U20" s="55"/>
    </row>
    <row r="21" spans="1:21" x14ac:dyDescent="0.25">
      <c r="A21" s="2"/>
      <c r="B21" s="2" t="s">
        <v>0</v>
      </c>
      <c r="C21" s="2"/>
      <c r="D21" s="3">
        <v>25000000</v>
      </c>
      <c r="E21" s="3"/>
      <c r="F21" s="2"/>
      <c r="G21" s="2"/>
      <c r="H21" s="2"/>
      <c r="I21" s="2"/>
      <c r="J21" s="2"/>
      <c r="K21" s="2"/>
      <c r="L21" s="16"/>
      <c r="N21" s="55" t="s">
        <v>69</v>
      </c>
      <c r="O21" s="55"/>
      <c r="P21" s="55"/>
      <c r="Q21" s="55"/>
      <c r="R21" s="55"/>
      <c r="S21" s="55"/>
      <c r="T21" s="55"/>
      <c r="U21" s="55"/>
    </row>
    <row r="22" spans="1:21" ht="19.5" thickBot="1" x14ac:dyDescent="0.35">
      <c r="A22" s="2"/>
      <c r="B22" s="2" t="str">
        <f>"+ Purchase Costs"</f>
        <v>+ Purchase Costs</v>
      </c>
      <c r="C22" s="22">
        <v>7.0000000000000007E-2</v>
      </c>
      <c r="D22" s="23">
        <f>D21*C22</f>
        <v>1750000.0000000002</v>
      </c>
      <c r="E22" s="5"/>
      <c r="F22" s="2"/>
      <c r="G22" s="2"/>
      <c r="H22" s="17" t="s">
        <v>34</v>
      </c>
      <c r="I22" s="2"/>
      <c r="J22" s="2"/>
      <c r="K22" s="2"/>
      <c r="L22" s="16"/>
      <c r="N22" s="55" t="s">
        <v>70</v>
      </c>
      <c r="O22" s="55"/>
      <c r="P22" s="55"/>
      <c r="Q22" s="55"/>
      <c r="R22" s="55"/>
      <c r="S22" s="55"/>
      <c r="T22" s="55"/>
      <c r="U22" s="55"/>
    </row>
    <row r="23" spans="1:21" ht="15.75" customHeight="1" thickTop="1" x14ac:dyDescent="0.25">
      <c r="A23" s="2"/>
      <c r="B23" s="18" t="s">
        <v>16</v>
      </c>
      <c r="C23" s="2"/>
      <c r="D23" s="2"/>
      <c r="E23" s="18">
        <f>SUM(D21:D22)</f>
        <v>26750000</v>
      </c>
      <c r="F23" s="2"/>
      <c r="G23" s="2"/>
      <c r="H23" s="2"/>
      <c r="I23" s="2"/>
      <c r="J23" s="2"/>
      <c r="K23" s="2"/>
      <c r="L23" s="16"/>
      <c r="N23" s="76" t="s">
        <v>71</v>
      </c>
      <c r="O23" s="76"/>
      <c r="P23" s="76"/>
      <c r="Q23" s="76"/>
      <c r="R23" s="76"/>
      <c r="S23" s="76"/>
      <c r="T23" s="76"/>
      <c r="U23" s="76"/>
    </row>
    <row r="24" spans="1:21" x14ac:dyDescent="0.25">
      <c r="A24" s="2"/>
      <c r="B24" s="2"/>
      <c r="C24" s="2"/>
      <c r="D24" s="2"/>
      <c r="E24" s="18"/>
      <c r="F24" s="2"/>
      <c r="G24" s="2"/>
      <c r="H24" s="2" t="s">
        <v>25</v>
      </c>
      <c r="I24" s="2">
        <f>J13</f>
        <v>6709500</v>
      </c>
      <c r="J24" s="2"/>
      <c r="K24" s="2"/>
      <c r="L24" s="16"/>
      <c r="N24" s="76"/>
      <c r="O24" s="76"/>
      <c r="P24" s="76"/>
      <c r="Q24" s="76"/>
      <c r="R24" s="76"/>
      <c r="S24" s="76"/>
      <c r="T24" s="76"/>
      <c r="U24" s="76"/>
    </row>
    <row r="25" spans="1:21" x14ac:dyDescent="0.25">
      <c r="A25" s="2"/>
      <c r="B25" s="18" t="s">
        <v>13</v>
      </c>
      <c r="C25" s="2"/>
      <c r="D25" s="2"/>
      <c r="E25" s="2"/>
      <c r="F25" s="2"/>
      <c r="G25" s="2"/>
      <c r="H25" s="2" t="s">
        <v>30</v>
      </c>
      <c r="I25" s="22">
        <v>5.5E-2</v>
      </c>
      <c r="J25" s="2"/>
      <c r="K25" s="2"/>
      <c r="L25" s="16"/>
      <c r="N25" s="76"/>
      <c r="O25" s="76"/>
      <c r="P25" s="76"/>
      <c r="Q25" s="76"/>
      <c r="R25" s="76"/>
      <c r="S25" s="76"/>
      <c r="T25" s="76"/>
      <c r="U25" s="76"/>
    </row>
    <row r="26" spans="1:21" x14ac:dyDescent="0.25">
      <c r="A26" s="2"/>
      <c r="B26" s="2" t="s">
        <v>14</v>
      </c>
      <c r="C26" s="2"/>
      <c r="D26" s="24">
        <f>SUMPRODUCT(E12:E15,C12:C15)</f>
        <v>231250</v>
      </c>
      <c r="E26" s="2"/>
      <c r="F26" s="2"/>
      <c r="G26" s="2"/>
      <c r="H26" s="2" t="s">
        <v>31</v>
      </c>
      <c r="I26" s="2"/>
      <c r="J26" s="2">
        <f>I24/I25</f>
        <v>121990909.09090909</v>
      </c>
      <c r="K26" s="2"/>
      <c r="L26" s="16"/>
      <c r="N26" s="76"/>
      <c r="O26" s="76"/>
      <c r="P26" s="76"/>
      <c r="Q26" s="76"/>
      <c r="R26" s="76"/>
      <c r="S26" s="76"/>
      <c r="T26" s="76"/>
      <c r="U26" s="76"/>
    </row>
    <row r="27" spans="1:21" ht="15.75" thickBot="1" x14ac:dyDescent="0.3">
      <c r="A27" s="2"/>
      <c r="B27" s="2" t="s">
        <v>15</v>
      </c>
      <c r="C27" s="2"/>
      <c r="D27" s="25">
        <v>275</v>
      </c>
      <c r="E27" s="2"/>
      <c r="F27" s="2"/>
      <c r="G27" s="2"/>
      <c r="H27" s="2" t="str">
        <f>"- sales costs"</f>
        <v>- sales costs</v>
      </c>
      <c r="I27" s="22">
        <v>0.02</v>
      </c>
      <c r="J27" s="6">
        <f>J26*I27</f>
        <v>2439818.1818181821</v>
      </c>
      <c r="K27" s="2"/>
      <c r="L27" s="16"/>
      <c r="N27" s="76"/>
      <c r="O27" s="76"/>
      <c r="P27" s="76"/>
      <c r="Q27" s="76"/>
      <c r="R27" s="76"/>
      <c r="S27" s="76"/>
      <c r="T27" s="76"/>
      <c r="U27" s="76"/>
    </row>
    <row r="28" spans="1:21" ht="16.5" thickTop="1" thickBot="1" x14ac:dyDescent="0.3">
      <c r="A28" s="2"/>
      <c r="B28" s="18" t="s">
        <v>17</v>
      </c>
      <c r="C28" s="2"/>
      <c r="D28" s="2"/>
      <c r="E28" s="26">
        <f>D26*D27</f>
        <v>63593750</v>
      </c>
      <c r="F28" s="2"/>
      <c r="G28" s="2"/>
      <c r="H28" s="18" t="s">
        <v>32</v>
      </c>
      <c r="I28" s="18"/>
      <c r="J28" s="18"/>
      <c r="K28" s="32">
        <f>J26-J27</f>
        <v>119551090.90909091</v>
      </c>
      <c r="L28" s="16"/>
      <c r="N28" s="76"/>
      <c r="O28" s="76"/>
      <c r="P28" s="76"/>
      <c r="Q28" s="76"/>
      <c r="R28" s="76"/>
      <c r="S28" s="76"/>
      <c r="T28" s="76"/>
      <c r="U28" s="76"/>
    </row>
    <row r="29" spans="1:21" ht="15.75" thickTop="1" x14ac:dyDescent="0.25">
      <c r="A29" s="2"/>
      <c r="B29" s="2"/>
      <c r="C29" s="2"/>
      <c r="D29" s="2"/>
      <c r="E29" s="2"/>
      <c r="F29" s="2"/>
      <c r="G29" s="2"/>
      <c r="H29" s="2"/>
      <c r="I29" s="2"/>
      <c r="J29" s="2"/>
      <c r="K29" s="2"/>
      <c r="L29" s="16"/>
      <c r="N29" s="55" t="s">
        <v>72</v>
      </c>
      <c r="O29" s="55"/>
      <c r="P29" s="55"/>
      <c r="Q29" s="55"/>
      <c r="R29" s="55"/>
      <c r="S29" s="55"/>
      <c r="T29" s="55"/>
      <c r="U29" s="55"/>
    </row>
    <row r="30" spans="1:21" x14ac:dyDescent="0.25">
      <c r="A30" s="2"/>
      <c r="B30" s="2" t="s">
        <v>21</v>
      </c>
      <c r="C30" s="3">
        <v>2</v>
      </c>
      <c r="D30" s="2" t="s">
        <v>22</v>
      </c>
      <c r="E30" s="2"/>
      <c r="F30" s="2"/>
      <c r="G30" s="2"/>
      <c r="H30" s="2"/>
      <c r="I30" s="2"/>
      <c r="J30" s="2"/>
      <c r="K30" s="2"/>
      <c r="L30" s="16"/>
      <c r="N30" s="55" t="s">
        <v>73</v>
      </c>
      <c r="O30" s="55"/>
      <c r="P30" s="55"/>
      <c r="Q30" s="55"/>
      <c r="R30" s="55"/>
      <c r="S30" s="55"/>
      <c r="T30" s="55"/>
      <c r="U30" s="55"/>
    </row>
    <row r="31" spans="1:21" x14ac:dyDescent="0.25">
      <c r="A31" s="2"/>
      <c r="B31" s="2"/>
      <c r="C31" s="2"/>
      <c r="D31" s="2"/>
      <c r="E31" s="2"/>
      <c r="F31" s="2"/>
      <c r="G31" s="2"/>
      <c r="H31" s="2"/>
      <c r="I31" s="2"/>
      <c r="J31" s="2"/>
      <c r="K31" s="2"/>
      <c r="L31" s="16"/>
      <c r="N31" s="55" t="s">
        <v>74</v>
      </c>
      <c r="O31" s="55"/>
      <c r="P31" s="55"/>
      <c r="Q31" s="55"/>
      <c r="R31" s="55"/>
      <c r="S31" s="55"/>
      <c r="T31" s="55"/>
      <c r="U31" s="55"/>
    </row>
    <row r="32" spans="1:21" ht="15.75" thickBot="1" x14ac:dyDescent="0.3">
      <c r="A32" s="2"/>
      <c r="B32" s="37" t="s">
        <v>42</v>
      </c>
      <c r="C32" s="37"/>
      <c r="D32" s="37"/>
      <c r="E32" s="37">
        <f>E23+E28</f>
        <v>90343750</v>
      </c>
      <c r="F32" s="38"/>
      <c r="G32" s="38"/>
      <c r="H32" s="37" t="s">
        <v>43</v>
      </c>
      <c r="I32" s="37"/>
      <c r="J32" s="37"/>
      <c r="K32" s="37">
        <f>K19+K28</f>
        <v>153098590.90909091</v>
      </c>
      <c r="L32" s="16"/>
      <c r="N32" s="55" t="s">
        <v>75</v>
      </c>
      <c r="O32" s="55"/>
      <c r="P32" s="55"/>
      <c r="Q32" s="55"/>
      <c r="R32" s="55"/>
      <c r="S32" s="55"/>
      <c r="T32" s="55"/>
      <c r="U32" s="55"/>
    </row>
    <row r="33" spans="1:21" ht="16.5" thickTop="1" thickBot="1" x14ac:dyDescent="0.3">
      <c r="A33" s="6"/>
      <c r="B33" s="26"/>
      <c r="C33" s="26"/>
      <c r="D33" s="26"/>
      <c r="E33" s="26"/>
      <c r="F33" s="6"/>
      <c r="G33" s="6"/>
      <c r="H33" s="6"/>
      <c r="I33" s="6"/>
      <c r="J33" s="6"/>
      <c r="K33" s="6"/>
      <c r="L33" s="33"/>
      <c r="N33" s="76" t="s">
        <v>76</v>
      </c>
      <c r="O33" s="76"/>
      <c r="P33" s="76"/>
      <c r="Q33" s="76"/>
      <c r="R33" s="76"/>
      <c r="S33" s="76"/>
      <c r="T33" s="76"/>
      <c r="U33" s="76"/>
    </row>
    <row r="34" spans="1:21" ht="15.75" thickTop="1" x14ac:dyDescent="0.25">
      <c r="A34" s="2"/>
      <c r="B34" s="2"/>
      <c r="C34" s="2"/>
      <c r="D34" s="2"/>
      <c r="E34" s="2"/>
      <c r="F34" s="2"/>
      <c r="G34" s="2"/>
      <c r="H34" s="2"/>
      <c r="I34" s="2"/>
      <c r="J34" s="2"/>
      <c r="K34" s="2"/>
      <c r="L34" s="16"/>
      <c r="N34" s="76"/>
      <c r="O34" s="76"/>
      <c r="P34" s="76"/>
      <c r="Q34" s="76"/>
      <c r="R34" s="76"/>
      <c r="S34" s="76"/>
      <c r="T34" s="76"/>
      <c r="U34" s="76"/>
    </row>
    <row r="35" spans="1:21" ht="18.75" x14ac:dyDescent="0.3">
      <c r="A35" s="2"/>
      <c r="B35" s="2"/>
      <c r="C35" s="2"/>
      <c r="D35" s="2"/>
      <c r="E35" s="17" t="s">
        <v>35</v>
      </c>
      <c r="F35" s="2"/>
      <c r="G35" s="2"/>
      <c r="H35" s="2"/>
      <c r="I35" s="2"/>
      <c r="J35" s="2"/>
      <c r="K35" s="2"/>
      <c r="L35" s="16"/>
      <c r="N35" s="76"/>
      <c r="O35" s="76"/>
      <c r="P35" s="76"/>
      <c r="Q35" s="76"/>
      <c r="R35" s="76"/>
      <c r="S35" s="76"/>
      <c r="T35" s="76"/>
      <c r="U35" s="76"/>
    </row>
    <row r="36" spans="1:21" x14ac:dyDescent="0.25">
      <c r="A36" s="2"/>
      <c r="B36" s="2"/>
      <c r="C36" s="2"/>
      <c r="D36" s="2"/>
      <c r="E36" s="2"/>
      <c r="F36" s="2"/>
      <c r="G36" s="2"/>
      <c r="H36" s="2"/>
      <c r="I36" s="2"/>
      <c r="J36" s="2"/>
      <c r="K36" s="2"/>
      <c r="L36" s="16"/>
    </row>
    <row r="37" spans="1:21" x14ac:dyDescent="0.25">
      <c r="A37" s="2"/>
      <c r="B37" s="2"/>
      <c r="C37" s="2"/>
      <c r="D37" s="2"/>
      <c r="E37" s="18" t="s">
        <v>33</v>
      </c>
      <c r="F37" s="2"/>
      <c r="G37" s="18">
        <f>K32-E32</f>
        <v>62754840.909090906</v>
      </c>
      <c r="H37" s="2"/>
      <c r="I37" s="2"/>
      <c r="J37" s="2"/>
      <c r="K37" s="2"/>
      <c r="L37" s="16"/>
      <c r="N37" s="89" t="s">
        <v>77</v>
      </c>
      <c r="O37" s="55"/>
      <c r="P37" s="55"/>
      <c r="Q37" s="55"/>
      <c r="R37" s="55"/>
      <c r="S37" s="55"/>
      <c r="T37" s="55"/>
      <c r="U37" s="55"/>
    </row>
    <row r="38" spans="1:21" x14ac:dyDescent="0.25">
      <c r="A38" s="2"/>
      <c r="B38" s="2"/>
      <c r="C38" s="2"/>
      <c r="D38" s="2"/>
      <c r="E38" s="2" t="s">
        <v>36</v>
      </c>
      <c r="F38" s="2"/>
      <c r="G38" s="28">
        <f>G37/E32</f>
        <v>0.6946229363856482</v>
      </c>
      <c r="H38" s="2"/>
      <c r="I38" s="2"/>
      <c r="J38" s="2"/>
      <c r="K38" s="2"/>
      <c r="L38" s="16"/>
      <c r="N38" s="57" t="s">
        <v>5</v>
      </c>
      <c r="O38" s="58" t="s">
        <v>4</v>
      </c>
      <c r="P38" s="58" t="s">
        <v>6</v>
      </c>
      <c r="Q38" s="58" t="s">
        <v>11</v>
      </c>
      <c r="R38" s="59"/>
      <c r="S38" s="59"/>
      <c r="T38" s="59"/>
      <c r="U38" s="59"/>
    </row>
    <row r="39" spans="1:21" x14ac:dyDescent="0.25">
      <c r="A39" s="2"/>
      <c r="B39" s="2"/>
      <c r="C39" s="2"/>
      <c r="D39" s="2"/>
      <c r="E39" s="2" t="s">
        <v>41</v>
      </c>
      <c r="F39" s="2"/>
      <c r="G39" s="27">
        <f>IRR(C49:L49)</f>
        <v>0.10765486051053053</v>
      </c>
      <c r="H39" s="2"/>
      <c r="I39" s="2"/>
      <c r="J39" s="2"/>
      <c r="K39" s="2"/>
      <c r="L39" s="16"/>
      <c r="N39" s="63" t="s">
        <v>7</v>
      </c>
      <c r="O39" s="63">
        <v>26</v>
      </c>
      <c r="P39" s="63">
        <v>1500</v>
      </c>
      <c r="Q39" s="63">
        <v>450</v>
      </c>
      <c r="R39" s="59"/>
      <c r="S39" s="59"/>
      <c r="T39" s="59"/>
      <c r="U39" s="59"/>
    </row>
    <row r="40" spans="1:21" x14ac:dyDescent="0.25">
      <c r="A40" s="2"/>
      <c r="B40" s="2"/>
      <c r="C40" s="2"/>
      <c r="D40" s="2"/>
      <c r="E40" s="2"/>
      <c r="F40" s="2"/>
      <c r="G40" s="2"/>
      <c r="H40" s="2"/>
      <c r="I40" s="2"/>
      <c r="J40" s="2"/>
      <c r="K40" s="2"/>
      <c r="L40" s="16"/>
      <c r="N40" s="63" t="s">
        <v>8</v>
      </c>
      <c r="O40" s="63">
        <v>205</v>
      </c>
      <c r="P40" s="63">
        <v>1800</v>
      </c>
      <c r="Q40" s="63">
        <v>550</v>
      </c>
      <c r="R40" s="59"/>
      <c r="S40" s="59"/>
      <c r="T40" s="59"/>
      <c r="U40" s="59"/>
    </row>
    <row r="41" spans="1:21" ht="19.5" thickBot="1" x14ac:dyDescent="0.35">
      <c r="A41" s="9"/>
      <c r="B41" s="9" t="s">
        <v>18</v>
      </c>
      <c r="C41" s="9"/>
      <c r="D41" s="9"/>
      <c r="E41" s="8"/>
      <c r="F41" s="8"/>
      <c r="G41" s="8"/>
      <c r="H41" s="8"/>
      <c r="I41" s="8"/>
      <c r="J41" s="8"/>
      <c r="K41" s="8"/>
      <c r="L41" s="8"/>
      <c r="N41" s="63" t="s">
        <v>10</v>
      </c>
      <c r="O41" s="63">
        <v>114</v>
      </c>
      <c r="P41" s="63">
        <v>2400</v>
      </c>
      <c r="Q41" s="63">
        <v>750</v>
      </c>
      <c r="R41" s="59"/>
      <c r="S41" s="59"/>
      <c r="T41" s="59"/>
      <c r="U41" s="59"/>
    </row>
    <row r="42" spans="1:21" ht="16.5" thickTop="1" thickBot="1" x14ac:dyDescent="0.3">
      <c r="A42" s="2"/>
      <c r="B42" s="2"/>
      <c r="C42" s="2"/>
      <c r="D42" s="2"/>
      <c r="E42" s="2"/>
      <c r="F42" s="2"/>
      <c r="G42" s="2"/>
      <c r="H42" s="2"/>
      <c r="I42" s="2"/>
      <c r="J42" s="2"/>
      <c r="K42" s="2"/>
      <c r="L42" s="40"/>
      <c r="N42" s="63" t="s">
        <v>9</v>
      </c>
      <c r="O42" s="64">
        <v>25</v>
      </c>
      <c r="P42" s="64">
        <v>3000</v>
      </c>
      <c r="Q42" s="64">
        <v>1000</v>
      </c>
      <c r="R42" s="59"/>
      <c r="S42" s="59"/>
      <c r="T42" s="59"/>
      <c r="U42" s="59"/>
    </row>
    <row r="43" spans="1:21" ht="15.75" thickTop="1" x14ac:dyDescent="0.25">
      <c r="A43" s="11"/>
      <c r="B43" s="14" t="s">
        <v>19</v>
      </c>
      <c r="C43" s="14">
        <v>1</v>
      </c>
      <c r="D43" s="14">
        <v>2</v>
      </c>
      <c r="E43" s="14">
        <v>3</v>
      </c>
      <c r="F43" s="14">
        <v>4</v>
      </c>
      <c r="G43" s="14">
        <v>5</v>
      </c>
      <c r="H43" s="14">
        <v>6</v>
      </c>
      <c r="I43" s="14">
        <v>7</v>
      </c>
      <c r="J43" s="14">
        <v>8</v>
      </c>
      <c r="K43" s="14">
        <v>9</v>
      </c>
      <c r="L43" s="41">
        <v>10</v>
      </c>
      <c r="M43" s="4"/>
      <c r="N43" s="59"/>
      <c r="O43" s="60">
        <v>370</v>
      </c>
      <c r="P43" s="60">
        <v>756600</v>
      </c>
      <c r="Q43" s="60">
        <v>234950</v>
      </c>
      <c r="R43" s="59"/>
      <c r="S43" s="59"/>
      <c r="T43" s="59"/>
      <c r="U43" s="59"/>
    </row>
    <row r="44" spans="1:21" x14ac:dyDescent="0.25">
      <c r="A44" s="12"/>
      <c r="B44" s="13" t="s">
        <v>40</v>
      </c>
      <c r="C44" s="11"/>
      <c r="D44" s="11"/>
      <c r="E44" s="11"/>
      <c r="F44" s="11"/>
      <c r="G44" s="11"/>
      <c r="H44" s="11"/>
      <c r="I44" s="11"/>
      <c r="J44" s="11"/>
      <c r="K44" s="11"/>
      <c r="L44" s="12"/>
      <c r="M44" s="4"/>
      <c r="N44" s="61"/>
      <c r="O44" s="59"/>
      <c r="P44" s="59"/>
      <c r="Q44" s="59"/>
      <c r="R44" s="59"/>
      <c r="S44" s="59"/>
      <c r="T44" s="59"/>
      <c r="U44" s="59"/>
    </row>
    <row r="45" spans="1:21" x14ac:dyDescent="0.25">
      <c r="A45" s="16" t="s">
        <v>20</v>
      </c>
      <c r="B45" s="29">
        <f>SUM(C45:L45)</f>
        <v>-26750000</v>
      </c>
      <c r="C45" s="2">
        <f>-E23</f>
        <v>-26750000</v>
      </c>
      <c r="D45" s="2"/>
      <c r="E45" s="2"/>
      <c r="F45" s="2"/>
      <c r="G45" s="2"/>
      <c r="H45" s="2"/>
      <c r="I45" s="2"/>
      <c r="J45" s="2"/>
      <c r="K45" s="2"/>
      <c r="L45" s="16"/>
      <c r="M45" s="4"/>
      <c r="N45" s="62" t="s">
        <v>78</v>
      </c>
      <c r="O45" s="59"/>
      <c r="P45" s="59"/>
      <c r="Q45" s="59"/>
      <c r="R45" s="59"/>
      <c r="S45" s="59"/>
      <c r="T45" s="59"/>
      <c r="U45" s="59"/>
    </row>
    <row r="46" spans="1:21" x14ac:dyDescent="0.25">
      <c r="A46" s="16" t="s">
        <v>37</v>
      </c>
      <c r="B46" s="29">
        <f t="shared" ref="B46:B48" si="0">SUM(C46:L46)</f>
        <v>-63593750</v>
      </c>
      <c r="C46" s="2">
        <f t="shared" ref="C46:L46" si="1">(C43&lt;=$C$30)*-($E$28/$C$30)</f>
        <v>-31796875</v>
      </c>
      <c r="D46" s="2">
        <f t="shared" si="1"/>
        <v>-31796875</v>
      </c>
      <c r="E46" s="2">
        <f t="shared" si="1"/>
        <v>0</v>
      </c>
      <c r="F46" s="2">
        <f t="shared" si="1"/>
        <v>0</v>
      </c>
      <c r="G46" s="2">
        <f t="shared" si="1"/>
        <v>0</v>
      </c>
      <c r="H46" s="2">
        <f t="shared" si="1"/>
        <v>0</v>
      </c>
      <c r="I46" s="2">
        <f t="shared" si="1"/>
        <v>0</v>
      </c>
      <c r="J46" s="2">
        <f t="shared" si="1"/>
        <v>0</v>
      </c>
      <c r="K46" s="2">
        <f t="shared" si="1"/>
        <v>0</v>
      </c>
      <c r="L46" s="16">
        <f t="shared" si="1"/>
        <v>0</v>
      </c>
      <c r="M46" s="4"/>
      <c r="N46" s="56"/>
      <c r="O46" s="55"/>
      <c r="P46" s="55"/>
      <c r="Q46" s="55"/>
      <c r="R46" s="55"/>
      <c r="S46" s="55"/>
      <c r="T46" s="55"/>
      <c r="U46" s="55"/>
    </row>
    <row r="47" spans="1:21" x14ac:dyDescent="0.25">
      <c r="A47" s="16" t="s">
        <v>38</v>
      </c>
      <c r="B47" s="29">
        <f t="shared" si="0"/>
        <v>33547500</v>
      </c>
      <c r="C47" s="2">
        <f t="shared" ref="C47:L47" si="2">IF(AND(C43&gt;$C$30,C43&lt;=$C$30+$I$18),$J$13,0)</f>
        <v>0</v>
      </c>
      <c r="D47" s="2">
        <f t="shared" si="2"/>
        <v>0</v>
      </c>
      <c r="E47" s="2">
        <f t="shared" si="2"/>
        <v>6709500</v>
      </c>
      <c r="F47" s="2">
        <f t="shared" si="2"/>
        <v>6709500</v>
      </c>
      <c r="G47" s="2">
        <f t="shared" si="2"/>
        <v>6709500</v>
      </c>
      <c r="H47" s="2">
        <f t="shared" si="2"/>
        <v>6709500</v>
      </c>
      <c r="I47" s="2">
        <f t="shared" si="2"/>
        <v>6709500</v>
      </c>
      <c r="J47" s="2">
        <f t="shared" si="2"/>
        <v>0</v>
      </c>
      <c r="K47" s="2">
        <f t="shared" si="2"/>
        <v>0</v>
      </c>
      <c r="L47" s="16">
        <f t="shared" si="2"/>
        <v>0</v>
      </c>
      <c r="M47" s="4"/>
      <c r="N47" s="39"/>
    </row>
    <row r="48" spans="1:21" x14ac:dyDescent="0.25">
      <c r="A48" s="16" t="s">
        <v>39</v>
      </c>
      <c r="B48" s="29">
        <f t="shared" si="0"/>
        <v>119551090.90909091</v>
      </c>
      <c r="C48" s="2">
        <f t="shared" ref="C48:L48" si="3">(C43=$C$30+$I$18)*$K$28</f>
        <v>0</v>
      </c>
      <c r="D48" s="2">
        <f t="shared" si="3"/>
        <v>0</v>
      </c>
      <c r="E48" s="2">
        <f t="shared" si="3"/>
        <v>0</v>
      </c>
      <c r="F48" s="2">
        <f t="shared" si="3"/>
        <v>0</v>
      </c>
      <c r="G48" s="2">
        <f t="shared" si="3"/>
        <v>0</v>
      </c>
      <c r="H48" s="2">
        <f t="shared" si="3"/>
        <v>0</v>
      </c>
      <c r="I48" s="2">
        <f t="shared" si="3"/>
        <v>119551090.90909091</v>
      </c>
      <c r="J48" s="2">
        <f t="shared" si="3"/>
        <v>0</v>
      </c>
      <c r="K48" s="2">
        <f t="shared" si="3"/>
        <v>0</v>
      </c>
      <c r="L48" s="16">
        <f t="shared" si="3"/>
        <v>0</v>
      </c>
      <c r="M48" s="4"/>
      <c r="N48" s="39"/>
    </row>
    <row r="49" spans="1:14" x14ac:dyDescent="0.25">
      <c r="A49" s="12" t="s">
        <v>33</v>
      </c>
      <c r="B49" s="15">
        <f t="shared" ref="B49:L49" si="4">SUM(B45:B48)</f>
        <v>62754840.909090906</v>
      </c>
      <c r="C49" s="11">
        <f t="shared" si="4"/>
        <v>-58546875</v>
      </c>
      <c r="D49" s="11">
        <f t="shared" si="4"/>
        <v>-31796875</v>
      </c>
      <c r="E49" s="11">
        <f t="shared" si="4"/>
        <v>6709500</v>
      </c>
      <c r="F49" s="11">
        <f t="shared" si="4"/>
        <v>6709500</v>
      </c>
      <c r="G49" s="11">
        <f t="shared" si="4"/>
        <v>6709500</v>
      </c>
      <c r="H49" s="11">
        <f t="shared" si="4"/>
        <v>6709500</v>
      </c>
      <c r="I49" s="11">
        <f t="shared" si="4"/>
        <v>126260590.90909091</v>
      </c>
      <c r="J49" s="11">
        <f t="shared" si="4"/>
        <v>0</v>
      </c>
      <c r="K49" s="11">
        <f t="shared" si="4"/>
        <v>0</v>
      </c>
      <c r="L49" s="12">
        <f t="shared" si="4"/>
        <v>0</v>
      </c>
      <c r="M49" s="4"/>
      <c r="N49" s="39"/>
    </row>
    <row r="50" spans="1:14" x14ac:dyDescent="0.25">
      <c r="A50" s="30"/>
      <c r="B50" s="30"/>
      <c r="C50" s="30"/>
      <c r="D50" s="30"/>
      <c r="E50" s="30"/>
      <c r="F50" s="30"/>
      <c r="G50" s="30"/>
      <c r="H50" s="30"/>
      <c r="I50" s="30"/>
      <c r="J50" s="30"/>
      <c r="K50" s="30"/>
      <c r="L50" s="31"/>
      <c r="M50" s="4"/>
      <c r="N50" s="39"/>
    </row>
    <row r="51" spans="1:14" x14ac:dyDescent="0.25">
      <c r="M51" s="39"/>
      <c r="N51" s="39"/>
    </row>
  </sheetData>
  <mergeCells count="10">
    <mergeCell ref="N2:U2"/>
    <mergeCell ref="N3:U3"/>
    <mergeCell ref="N4:U4"/>
    <mergeCell ref="N5:U5"/>
    <mergeCell ref="N23:U28"/>
    <mergeCell ref="N33:U35"/>
    <mergeCell ref="N6:U6"/>
    <mergeCell ref="N7:U8"/>
    <mergeCell ref="N10:U12"/>
    <mergeCell ref="N13:U15"/>
  </mergeCells>
  <phoneticPr fontId="16" type="noConversion"/>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Goal Seek</vt:lpstr>
      <vt:lpstr>Scenario Analysis</vt:lpstr>
      <vt:lpstr>Data Tables</vt:lpstr>
      <vt:lpstr>Solver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Fierce-PC</dc:creator>
  <cp:lastModifiedBy>Mark Morgan</cp:lastModifiedBy>
  <dcterms:created xsi:type="dcterms:W3CDTF">2020-09-01T13:19:52Z</dcterms:created>
  <dcterms:modified xsi:type="dcterms:W3CDTF">2020-10-29T12:08:50Z</dcterms:modified>
</cp:coreProperties>
</file>